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3.xml" ContentType="application/vnd.openxmlformats-officedocument.drawing+xml"/>
  <Override PartName="/xl/customProperty6.bin" ContentType="application/vnd.openxmlformats-officedocument.spreadsheetml.customProperty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7.bin" ContentType="application/vnd.openxmlformats-officedocument.spreadsheetml.customProperty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ustomProperty8.bin" ContentType="application/vnd.openxmlformats-officedocument.spreadsheetml.customProperty"/>
  <Override PartName="/xl/drawings/drawing6.xml" ContentType="application/vnd.openxmlformats-officedocument.drawing+xml"/>
  <Override PartName="/xl/customProperty9.bin" ContentType="application/vnd.openxmlformats-officedocument.spreadsheetml.customProperty"/>
  <Override PartName="/xl/drawings/drawing7.xml" ContentType="application/vnd.openxmlformats-officedocument.drawing+xml"/>
  <Override PartName="/xl/customProperty10.bin" ContentType="application/vnd.openxmlformats-officedocument.spreadsheetml.customProperty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customProperty11.bin" ContentType="application/vnd.openxmlformats-officedocument.spreadsheetml.customProperty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ustomProperty12.bin" ContentType="application/vnd.openxmlformats-officedocument.spreadsheetml.customProperty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customProperty13.bin" ContentType="application/vnd.openxmlformats-officedocument.spreadsheetml.customProperty"/>
  <Override PartName="/xl/drawings/drawing11.xml" ContentType="application/vnd.openxmlformats-officedocument.drawing+xml"/>
  <Override PartName="/xl/comments5.xml" ContentType="application/vnd.openxmlformats-officedocument.spreadsheetml.comments+xml"/>
  <Override PartName="/xl/customProperty14.bin" ContentType="application/vnd.openxmlformats-officedocument.spreadsheetml.customProperty"/>
  <Override PartName="/xl/drawings/drawing12.xml" ContentType="application/vnd.openxmlformats-officedocument.drawing+xml"/>
  <Override PartName="/xl/comments6.xml" ContentType="application/vnd.openxmlformats-officedocument.spreadsheetml.comments+xml"/>
  <Override PartName="/xl/customProperty15.bin" ContentType="application/vnd.openxmlformats-officedocument.spreadsheetml.customProperty"/>
  <Override PartName="/xl/drawings/drawing13.xml" ContentType="application/vnd.openxmlformats-officedocument.drawing+xml"/>
  <Override PartName="/xl/comments7.xml" ContentType="application/vnd.openxmlformats-officedocument.spreadsheetml.comments+xml"/>
  <Override PartName="/xl/customProperty16.bin" ContentType="application/vnd.openxmlformats-officedocument.spreadsheetml.customProperty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750" yWindow="20" windowWidth="12260" windowHeight="10900" tabRatio="783" firstSheet="15" activeTab="15"/>
  </bookViews>
  <sheets>
    <sheet name="Original subrogació 2022" sheetId="1" r:id="rId1"/>
    <sheet name="Despeses Personal" sheetId="2" r:id="rId2"/>
    <sheet name="Categ profes" sheetId="55" r:id="rId3"/>
    <sheet name="Nou full subrogacio 2023" sheetId="52" r:id="rId4"/>
    <sheet name="Despeses Personal 2023" sheetId="53" r:id="rId5"/>
    <sheet name="Estimacio index increm salarial" sheetId="4" r:id="rId6"/>
    <sheet name="Estimacio increment IPC" sheetId="5" r:id="rId7"/>
    <sheet name="Estimacions apats i usuaris" sheetId="6" r:id="rId8"/>
    <sheet name="Gratificacio bonus" sheetId="35" r:id="rId9"/>
    <sheet name="PROPOSTA2022" sheetId="3" r:id="rId10"/>
    <sheet name="PROPOSTA2023" sheetId="15" r:id="rId11"/>
    <sheet name="PROPOSTA2024" sheetId="20" r:id="rId12"/>
    <sheet name="PROPOSTA2025" sheetId="21" r:id="rId13"/>
    <sheet name="PROPOSTA2026" sheetId="22" r:id="rId14"/>
    <sheet name="PROPOSTA2027" sheetId="23" r:id="rId15"/>
    <sheet name="Annex 4 Bis" sheetId="48" r:id="rId16"/>
  </sheets>
  <externalReferences>
    <externalReference r:id="rId17"/>
    <externalReference r:id="rId18"/>
  </externalReferences>
  <definedNames>
    <definedName name="_xlnm._FilterDatabase" localSheetId="3" hidden="1">'Nou full subrogacio 2023'!$A$2:$S$53</definedName>
    <definedName name="_xlnm._FilterDatabase" localSheetId="0" hidden="1">'Original subrogació 2022'!$A$2:$O$43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48" l="1"/>
  <c r="H33" i="48"/>
  <c r="I33" i="48" s="1"/>
  <c r="I34" i="48"/>
  <c r="G34" i="48"/>
  <c r="G33" i="48"/>
  <c r="I29" i="48"/>
  <c r="G31" i="48"/>
  <c r="G26" i="48"/>
  <c r="G29" i="48"/>
  <c r="I35" i="48" l="1"/>
  <c r="G35" i="48"/>
  <c r="I30" i="48"/>
  <c r="I31" i="48" s="1"/>
  <c r="G30" i="48" l="1"/>
  <c r="I26" i="48" l="1"/>
  <c r="I27" i="48" l="1"/>
  <c r="I37" i="48" s="1"/>
  <c r="G27" i="48"/>
  <c r="G37" i="48" s="1"/>
  <c r="G39" i="48" l="1"/>
  <c r="I39" i="48"/>
  <c r="I40" i="48" s="1"/>
  <c r="I41" i="48" s="1"/>
  <c r="G40" i="48" l="1"/>
  <c r="G41" i="48" s="1"/>
  <c r="B41" i="23" l="1"/>
  <c r="B40" i="23"/>
  <c r="B41" i="22"/>
  <c r="B40" i="22"/>
  <c r="B41" i="21"/>
  <c r="B40" i="21"/>
  <c r="B41" i="20"/>
  <c r="B40" i="20"/>
  <c r="B28" i="23"/>
  <c r="B27" i="23"/>
  <c r="B26" i="23"/>
  <c r="B25" i="23"/>
  <c r="B21" i="23"/>
  <c r="B28" i="22"/>
  <c r="B27" i="22"/>
  <c r="B26" i="22"/>
  <c r="B25" i="22"/>
  <c r="B21" i="22"/>
  <c r="B28" i="21"/>
  <c r="B27" i="21"/>
  <c r="B26" i="21"/>
  <c r="B25" i="21"/>
  <c r="B21" i="21"/>
  <c r="B28" i="20"/>
  <c r="B27" i="20"/>
  <c r="B26" i="20"/>
  <c r="B25" i="20"/>
  <c r="B21" i="20"/>
  <c r="B41" i="15"/>
  <c r="B40" i="15"/>
  <c r="B28" i="15"/>
  <c r="B27" i="15"/>
  <c r="B26" i="15"/>
  <c r="B25" i="15"/>
  <c r="B21" i="15"/>
  <c r="C79" i="3" l="1"/>
  <c r="I79" i="3" s="1"/>
  <c r="C64" i="15"/>
  <c r="I80" i="3" l="1"/>
  <c r="I85" i="15" l="1"/>
  <c r="I82" i="22" l="1"/>
  <c r="D82" i="23"/>
  <c r="D81" i="23"/>
  <c r="D82" i="22"/>
  <c r="D81" i="22"/>
  <c r="D81" i="21"/>
  <c r="D82" i="21" s="1"/>
  <c r="D82" i="20"/>
  <c r="D81" i="20"/>
  <c r="D81" i="15"/>
  <c r="D82" i="15" s="1"/>
  <c r="D82" i="3"/>
  <c r="D81" i="3"/>
  <c r="C78" i="15"/>
  <c r="C74" i="23"/>
  <c r="C70" i="15"/>
  <c r="E71" i="23"/>
  <c r="E71" i="22"/>
  <c r="E71" i="21"/>
  <c r="E71" i="20"/>
  <c r="E71" i="15"/>
  <c r="I28" i="6"/>
  <c r="C71" i="15"/>
  <c r="I71" i="3"/>
  <c r="D67" i="23"/>
  <c r="D66" i="23"/>
  <c r="D67" i="22"/>
  <c r="D66" i="22"/>
  <c r="D67" i="21"/>
  <c r="D66" i="21"/>
  <c r="D67" i="20"/>
  <c r="D66" i="20"/>
  <c r="D67" i="15"/>
  <c r="D66" i="15"/>
  <c r="C55" i="23"/>
  <c r="C55" i="22"/>
  <c r="C55" i="21"/>
  <c r="C55" i="20"/>
  <c r="C55" i="15"/>
  <c r="C55" i="3"/>
  <c r="W8" i="5"/>
  <c r="Z32" i="5"/>
  <c r="Z33" i="5" s="1"/>
  <c r="W9" i="5" l="1"/>
  <c r="U8" i="5"/>
  <c r="U9" i="5" s="1"/>
  <c r="U10" i="5" s="1"/>
  <c r="U11" i="5" s="1"/>
  <c r="AF32" i="5"/>
  <c r="AF33" i="5" s="1"/>
  <c r="AE32" i="5"/>
  <c r="AE33" i="5" s="1"/>
  <c r="AD32" i="5"/>
  <c r="AD33" i="5" s="1"/>
  <c r="AC32" i="5"/>
  <c r="AC33" i="5" s="1"/>
  <c r="AB32" i="5"/>
  <c r="AB33" i="5" s="1"/>
  <c r="AA32" i="5"/>
  <c r="AA33" i="5" s="1"/>
  <c r="E41" i="23" l="1"/>
  <c r="E40" i="23"/>
  <c r="E39" i="23"/>
  <c r="E22" i="23"/>
  <c r="E25" i="23"/>
  <c r="E26" i="23"/>
  <c r="E27" i="23"/>
  <c r="E28" i="23"/>
  <c r="E29" i="23"/>
  <c r="E21" i="23"/>
  <c r="E41" i="22"/>
  <c r="E40" i="22"/>
  <c r="E39" i="22"/>
  <c r="E22" i="22"/>
  <c r="E25" i="22"/>
  <c r="E26" i="22"/>
  <c r="E27" i="22"/>
  <c r="E28" i="22"/>
  <c r="E29" i="22"/>
  <c r="E21" i="22"/>
  <c r="B46" i="3"/>
  <c r="B45" i="3"/>
  <c r="B46" i="23"/>
  <c r="B45" i="23"/>
  <c r="B46" i="22"/>
  <c r="B45" i="22"/>
  <c r="B46" i="21"/>
  <c r="B45" i="21"/>
  <c r="B34" i="21"/>
  <c r="B33" i="21"/>
  <c r="B46" i="20"/>
  <c r="B45" i="20"/>
  <c r="B46" i="15"/>
  <c r="B45" i="15"/>
  <c r="E43" i="21"/>
  <c r="E43" i="20"/>
  <c r="E39" i="20"/>
  <c r="E39" i="21" s="1"/>
  <c r="E41" i="21"/>
  <c r="E40" i="21"/>
  <c r="E29" i="21"/>
  <c r="E28" i="21"/>
  <c r="E27" i="21"/>
  <c r="E26" i="21"/>
  <c r="E25" i="21"/>
  <c r="E22" i="21"/>
  <c r="E21" i="21"/>
  <c r="E21" i="20"/>
  <c r="E31" i="20" s="1"/>
  <c r="E41" i="20"/>
  <c r="E40" i="20"/>
  <c r="E29" i="20"/>
  <c r="E28" i="20"/>
  <c r="E27" i="20"/>
  <c r="E26" i="20"/>
  <c r="E25" i="20"/>
  <c r="E22" i="20"/>
  <c r="B31" i="20"/>
  <c r="D26" i="4"/>
  <c r="D8" i="4"/>
  <c r="D7" i="4"/>
  <c r="D14" i="4"/>
  <c r="C26" i="4"/>
  <c r="C7" i="4"/>
  <c r="E33" i="4"/>
  <c r="E32" i="20" l="1"/>
  <c r="J21" i="15"/>
  <c r="G21" i="15"/>
  <c r="F21" i="15"/>
  <c r="M3" i="2"/>
  <c r="B43" i="20"/>
  <c r="E41" i="15" l="1"/>
  <c r="E40" i="15"/>
  <c r="E39" i="15"/>
  <c r="E29" i="15"/>
  <c r="E28" i="15"/>
  <c r="E27" i="15"/>
  <c r="E26" i="15"/>
  <c r="E25" i="15"/>
  <c r="E22" i="15"/>
  <c r="E21" i="15"/>
  <c r="E41" i="3" l="1"/>
  <c r="E40" i="3"/>
  <c r="E39" i="3"/>
  <c r="E29" i="3"/>
  <c r="E28" i="3"/>
  <c r="E27" i="3"/>
  <c r="E26" i="3"/>
  <c r="E25" i="3"/>
  <c r="E22" i="3"/>
  <c r="E21" i="3"/>
  <c r="D3" i="2"/>
  <c r="D41" i="15"/>
  <c r="D40" i="15"/>
  <c r="D39" i="15"/>
  <c r="D29" i="15"/>
  <c r="D28" i="15"/>
  <c r="D27" i="15"/>
  <c r="D26" i="15"/>
  <c r="D25" i="15"/>
  <c r="D22" i="15"/>
  <c r="D21" i="15"/>
  <c r="D41" i="3" l="1"/>
  <c r="D40" i="3"/>
  <c r="D39" i="3"/>
  <c r="D29" i="3"/>
  <c r="D28" i="3"/>
  <c r="D27" i="3"/>
  <c r="D26" i="3"/>
  <c r="D25" i="3"/>
  <c r="D22" i="3"/>
  <c r="D21" i="3"/>
  <c r="E3" i="2"/>
  <c r="G8" i="53"/>
  <c r="M8" i="23"/>
  <c r="L8" i="23"/>
  <c r="K8" i="23"/>
  <c r="J8" i="23"/>
  <c r="I8" i="23"/>
  <c r="H7" i="23"/>
  <c r="M8" i="22"/>
  <c r="L8" i="22"/>
  <c r="K8" i="22"/>
  <c r="J8" i="22"/>
  <c r="N8" i="22" s="1"/>
  <c r="I8" i="22"/>
  <c r="M8" i="21"/>
  <c r="L8" i="21"/>
  <c r="K8" i="21"/>
  <c r="J8" i="21"/>
  <c r="I8" i="21"/>
  <c r="H7" i="21"/>
  <c r="P9" i="20"/>
  <c r="M9" i="20"/>
  <c r="N9" i="20" s="1"/>
  <c r="L9" i="20"/>
  <c r="M8" i="20"/>
  <c r="L8" i="20"/>
  <c r="K8" i="20"/>
  <c r="J8" i="20"/>
  <c r="I8" i="20"/>
  <c r="H7" i="20"/>
  <c r="M8" i="15"/>
  <c r="L8" i="15"/>
  <c r="K8" i="15"/>
  <c r="J8" i="15"/>
  <c r="I8" i="15"/>
  <c r="N8" i="15" s="1"/>
  <c r="H8" i="15" s="1"/>
  <c r="N8" i="23" l="1"/>
  <c r="H8" i="23" s="1"/>
  <c r="H9" i="23" s="1"/>
  <c r="H8" i="22"/>
  <c r="H9" i="22" s="1"/>
  <c r="N8" i="21"/>
  <c r="H8" i="21" s="1"/>
  <c r="H9" i="21" s="1"/>
  <c r="N8" i="20"/>
  <c r="C40" i="21" l="1"/>
  <c r="C27" i="21"/>
  <c r="C21" i="21"/>
  <c r="C39" i="21"/>
  <c r="C26" i="21"/>
  <c r="C29" i="21"/>
  <c r="C25" i="21"/>
  <c r="C41" i="21"/>
  <c r="C28" i="21"/>
  <c r="C22" i="21"/>
  <c r="C22" i="22"/>
  <c r="C28" i="22"/>
  <c r="C41" i="22"/>
  <c r="C25" i="22"/>
  <c r="C29" i="22"/>
  <c r="C40" i="22"/>
  <c r="C26" i="22"/>
  <c r="C21" i="22"/>
  <c r="C39" i="22"/>
  <c r="C27" i="22"/>
  <c r="H8" i="20"/>
  <c r="H9" i="20" s="1"/>
  <c r="P8" i="20"/>
  <c r="C40" i="23"/>
  <c r="C26" i="23"/>
  <c r="C21" i="23"/>
  <c r="C39" i="23"/>
  <c r="C27" i="23"/>
  <c r="C22" i="23"/>
  <c r="C28" i="23"/>
  <c r="C41" i="23"/>
  <c r="C25" i="23"/>
  <c r="C29" i="23"/>
  <c r="D40" i="20"/>
  <c r="D40" i="21" s="1"/>
  <c r="D22" i="20"/>
  <c r="D26" i="20"/>
  <c r="D28" i="20"/>
  <c r="D29" i="20"/>
  <c r="D21" i="20"/>
  <c r="C29" i="20" l="1"/>
  <c r="C25" i="20"/>
  <c r="C41" i="20"/>
  <c r="C28" i="20"/>
  <c r="C22" i="20"/>
  <c r="C40" i="20"/>
  <c r="C27" i="20"/>
  <c r="C21" i="20"/>
  <c r="C39" i="20"/>
  <c r="C26" i="20"/>
  <c r="D41" i="20"/>
  <c r="D39" i="20"/>
  <c r="D29" i="21"/>
  <c r="D28" i="21"/>
  <c r="D27" i="20"/>
  <c r="D26" i="21"/>
  <c r="D26" i="22" s="1"/>
  <c r="D26" i="23" s="1"/>
  <c r="D25" i="20"/>
  <c r="D22" i="21"/>
  <c r="D22" i="22" s="1"/>
  <c r="D22" i="23" s="1"/>
  <c r="D21" i="21"/>
  <c r="D21" i="22" s="1"/>
  <c r="D21" i="23" s="1"/>
  <c r="D40" i="22"/>
  <c r="B22" i="35"/>
  <c r="B21" i="35"/>
  <c r="B20" i="35"/>
  <c r="B13" i="35"/>
  <c r="B12" i="35"/>
  <c r="B11" i="35"/>
  <c r="B10" i="35"/>
  <c r="B9" i="35"/>
  <c r="B6" i="35"/>
  <c r="B5" i="35"/>
  <c r="J18" i="53"/>
  <c r="J17" i="53"/>
  <c r="F3" i="53"/>
  <c r="F16" i="53"/>
  <c r="E18" i="53"/>
  <c r="B24" i="53"/>
  <c r="E25" i="53"/>
  <c r="E24" i="53"/>
  <c r="E22" i="53"/>
  <c r="E19" i="53"/>
  <c r="E21" i="53"/>
  <c r="B18" i="53"/>
  <c r="V4" i="53"/>
  <c r="V5" i="53"/>
  <c r="V6" i="53"/>
  <c r="V7" i="53"/>
  <c r="V8" i="53"/>
  <c r="V9" i="53"/>
  <c r="V10" i="53"/>
  <c r="V11" i="53"/>
  <c r="V12" i="53"/>
  <c r="V3" i="53"/>
  <c r="D4" i="53"/>
  <c r="D5" i="53"/>
  <c r="D6" i="53"/>
  <c r="D7" i="53"/>
  <c r="D9" i="53"/>
  <c r="D10" i="53"/>
  <c r="D11" i="53"/>
  <c r="D12" i="53"/>
  <c r="D3" i="53"/>
  <c r="D28" i="22" l="1"/>
  <c r="D29" i="22"/>
  <c r="D29" i="23" s="1"/>
  <c r="D41" i="21"/>
  <c r="D39" i="21"/>
  <c r="D27" i="21"/>
  <c r="D25" i="21"/>
  <c r="D40" i="23"/>
  <c r="E20" i="53"/>
  <c r="E8" i="53"/>
  <c r="D28" i="23" l="1"/>
  <c r="D41" i="22"/>
  <c r="D39" i="22"/>
  <c r="D27" i="22"/>
  <c r="D25" i="22"/>
  <c r="D14" i="55"/>
  <c r="C14" i="55"/>
  <c r="D13" i="55"/>
  <c r="D5" i="55"/>
  <c r="D6" i="55"/>
  <c r="D7" i="55"/>
  <c r="D8" i="55"/>
  <c r="D9" i="55"/>
  <c r="D10" i="55"/>
  <c r="D11" i="55"/>
  <c r="D12" i="55"/>
  <c r="D4" i="55"/>
  <c r="I14" i="55"/>
  <c r="H14" i="55"/>
  <c r="G14" i="55"/>
  <c r="C18" i="53"/>
  <c r="D41" i="23" l="1"/>
  <c r="D39" i="23"/>
  <c r="D27" i="23"/>
  <c r="D25" i="23"/>
  <c r="B43" i="23"/>
  <c r="B43" i="22"/>
  <c r="B43" i="21"/>
  <c r="E12" i="53"/>
  <c r="F12" i="53" s="1"/>
  <c r="F13" i="55" s="1"/>
  <c r="E11" i="53"/>
  <c r="F11" i="53" s="1"/>
  <c r="F5" i="55" s="1"/>
  <c r="E10" i="53"/>
  <c r="F10" i="53" s="1"/>
  <c r="F4" i="55" s="1"/>
  <c r="E9" i="53"/>
  <c r="F9" i="53" s="1"/>
  <c r="F9" i="55" s="1"/>
  <c r="F8" i="53"/>
  <c r="E7" i="53"/>
  <c r="F7" i="53" s="1"/>
  <c r="F7" i="55" s="1"/>
  <c r="E6" i="53"/>
  <c r="F6" i="53" s="1"/>
  <c r="F12" i="55" s="1"/>
  <c r="S3" i="53"/>
  <c r="E5" i="53"/>
  <c r="F5" i="53" s="1"/>
  <c r="F11" i="55" s="1"/>
  <c r="E4" i="53"/>
  <c r="F4" i="53" s="1"/>
  <c r="F10" i="55" s="1"/>
  <c r="E3" i="53"/>
  <c r="F6" i="55" s="1"/>
  <c r="B44" i="15"/>
  <c r="B43" i="15"/>
  <c r="B31" i="23"/>
  <c r="B31" i="22"/>
  <c r="B31" i="21"/>
  <c r="F8" i="55" l="1"/>
  <c r="D8" i="53"/>
  <c r="F14" i="55"/>
  <c r="B13" i="53"/>
  <c r="G3" i="53" l="1"/>
  <c r="C25" i="53"/>
  <c r="B25" i="53"/>
  <c r="C24" i="53"/>
  <c r="C23" i="53" s="1"/>
  <c r="F24" i="53"/>
  <c r="E23" i="53"/>
  <c r="F22" i="53"/>
  <c r="C22" i="53"/>
  <c r="B22" i="53"/>
  <c r="C21" i="53"/>
  <c r="C20" i="53" s="1"/>
  <c r="B21" i="53"/>
  <c r="F21" i="53" s="1"/>
  <c r="F19" i="53"/>
  <c r="C19" i="53"/>
  <c r="B19" i="53"/>
  <c r="F18" i="53"/>
  <c r="E17" i="53"/>
  <c r="C13" i="53"/>
  <c r="W12" i="53"/>
  <c r="X12" i="53" s="1"/>
  <c r="M12" i="53"/>
  <c r="W11" i="53"/>
  <c r="X11" i="53" s="1"/>
  <c r="M11" i="53"/>
  <c r="W10" i="53"/>
  <c r="M10" i="53"/>
  <c r="N10" i="53" s="1"/>
  <c r="O10" i="53" s="1"/>
  <c r="N9" i="53"/>
  <c r="O9" i="53" s="1"/>
  <c r="M9" i="53"/>
  <c r="W8" i="53"/>
  <c r="X8" i="53" s="1"/>
  <c r="M8" i="53"/>
  <c r="N8" i="53" s="1"/>
  <c r="W7" i="53"/>
  <c r="X7" i="53" s="1"/>
  <c r="M7" i="53"/>
  <c r="M6" i="53"/>
  <c r="M5" i="53"/>
  <c r="N5" i="53" s="1"/>
  <c r="O5" i="53" s="1"/>
  <c r="W4" i="53"/>
  <c r="X4" i="53" s="1"/>
  <c r="M4" i="53"/>
  <c r="M3" i="53"/>
  <c r="G1" i="53"/>
  <c r="E16" i="53" l="1"/>
  <c r="B17" i="53"/>
  <c r="F17" i="53" s="1"/>
  <c r="B20" i="53"/>
  <c r="F20" i="53" s="1"/>
  <c r="B23" i="53"/>
  <c r="F23" i="53" s="1"/>
  <c r="C17" i="53"/>
  <c r="C16" i="53" s="1"/>
  <c r="N6" i="53"/>
  <c r="O6" i="53" s="1"/>
  <c r="P6" i="53" s="1"/>
  <c r="Q6" i="53" s="1"/>
  <c r="S6" i="53" s="1"/>
  <c r="H8" i="53"/>
  <c r="I8" i="53" s="1"/>
  <c r="J8" i="53" s="1"/>
  <c r="J21" i="53" s="1"/>
  <c r="V13" i="53"/>
  <c r="W3" i="53"/>
  <c r="X3" i="53" s="1"/>
  <c r="Y3" i="53" s="1"/>
  <c r="Z3" i="53" s="1"/>
  <c r="E13" i="53"/>
  <c r="F13" i="53" s="1"/>
  <c r="G7" i="53"/>
  <c r="H7" i="53" s="1"/>
  <c r="G4" i="53"/>
  <c r="H4" i="53" s="1"/>
  <c r="Y8" i="53"/>
  <c r="Z8" i="53" s="1"/>
  <c r="P5" i="53"/>
  <c r="Q5" i="53" s="1"/>
  <c r="S5" i="53" s="1"/>
  <c r="Y12" i="53"/>
  <c r="Z12" i="53" s="1"/>
  <c r="G6" i="53"/>
  <c r="H6" i="53" s="1"/>
  <c r="G9" i="53"/>
  <c r="H9" i="53" s="1"/>
  <c r="I9" i="53" s="1"/>
  <c r="G11" i="53"/>
  <c r="H11" i="53" s="1"/>
  <c r="P9" i="53"/>
  <c r="Q9" i="53" s="1"/>
  <c r="S9" i="53" s="1"/>
  <c r="D13" i="53"/>
  <c r="H3" i="53"/>
  <c r="Y11" i="53"/>
  <c r="Z11" i="53" s="1"/>
  <c r="Y7" i="53"/>
  <c r="Z7" i="53" s="1"/>
  <c r="G5" i="53"/>
  <c r="H5" i="53" s="1"/>
  <c r="G10" i="53"/>
  <c r="H10" i="53" s="1"/>
  <c r="G12" i="53"/>
  <c r="H12" i="53" s="1"/>
  <c r="P10" i="53"/>
  <c r="Q10" i="53" s="1"/>
  <c r="S10" i="53" s="1"/>
  <c r="C26" i="53"/>
  <c r="N4" i="53"/>
  <c r="O4" i="53" s="1"/>
  <c r="N12" i="53"/>
  <c r="O12" i="53" s="1"/>
  <c r="W5" i="53"/>
  <c r="X5" i="53" s="1"/>
  <c r="N7" i="53"/>
  <c r="O7" i="53" s="1"/>
  <c r="X10" i="53"/>
  <c r="F25" i="53"/>
  <c r="Y4" i="53"/>
  <c r="Z4" i="53" s="1"/>
  <c r="W6" i="53"/>
  <c r="X6" i="53" s="1"/>
  <c r="M13" i="53"/>
  <c r="N3" i="53"/>
  <c r="O3" i="53" s="1"/>
  <c r="O8" i="53"/>
  <c r="W9" i="53"/>
  <c r="X9" i="53" s="1"/>
  <c r="N11" i="53"/>
  <c r="O11" i="53" s="1"/>
  <c r="L53" i="52"/>
  <c r="H39" i="52"/>
  <c r="H38" i="52"/>
  <c r="Q39" i="52"/>
  <c r="R39" i="52" s="1"/>
  <c r="S39" i="52" s="1"/>
  <c r="M39" i="52"/>
  <c r="N39" i="52" s="1"/>
  <c r="Q38" i="52"/>
  <c r="R38" i="52" s="1"/>
  <c r="S38" i="52" s="1"/>
  <c r="M38" i="52"/>
  <c r="N38" i="52" s="1"/>
  <c r="Q37" i="52"/>
  <c r="R37" i="52" s="1"/>
  <c r="S37" i="52" s="1"/>
  <c r="M37" i="52"/>
  <c r="N37" i="52" s="1"/>
  <c r="H37" i="52"/>
  <c r="M34" i="52"/>
  <c r="N34" i="52" s="1"/>
  <c r="H34" i="52"/>
  <c r="Q34" i="52"/>
  <c r="R34" i="52" s="1"/>
  <c r="S34" i="52" s="1"/>
  <c r="Q51" i="52"/>
  <c r="R51" i="52" s="1"/>
  <c r="S51" i="52" s="1"/>
  <c r="M51" i="52"/>
  <c r="N51" i="52" s="1"/>
  <c r="H51" i="52"/>
  <c r="Q5" i="52"/>
  <c r="R5" i="52" s="1"/>
  <c r="S5" i="52" s="1"/>
  <c r="M5" i="52"/>
  <c r="N5" i="52" s="1"/>
  <c r="H5" i="52"/>
  <c r="Q4" i="52"/>
  <c r="R4" i="52" s="1"/>
  <c r="S4" i="52" s="1"/>
  <c r="M4" i="52"/>
  <c r="N4" i="52" s="1"/>
  <c r="H4" i="52"/>
  <c r="Q13" i="52"/>
  <c r="R13" i="52" s="1"/>
  <c r="S13" i="52" s="1"/>
  <c r="M13" i="52"/>
  <c r="N13" i="52" s="1"/>
  <c r="H13" i="52"/>
  <c r="Q12" i="52"/>
  <c r="R12" i="52" s="1"/>
  <c r="S12" i="52" s="1"/>
  <c r="M12" i="52"/>
  <c r="N12" i="52" s="1"/>
  <c r="H12" i="52"/>
  <c r="H6" i="52"/>
  <c r="H7" i="52"/>
  <c r="H8" i="52"/>
  <c r="H14" i="52"/>
  <c r="H9" i="52"/>
  <c r="H15" i="52"/>
  <c r="H16" i="52"/>
  <c r="H17" i="52"/>
  <c r="H18" i="52"/>
  <c r="H23" i="52"/>
  <c r="H40" i="52"/>
  <c r="H24" i="52"/>
  <c r="H25" i="52"/>
  <c r="H26" i="52"/>
  <c r="H27" i="52"/>
  <c r="H28" i="52"/>
  <c r="H29" i="52"/>
  <c r="H35" i="52"/>
  <c r="H41" i="52"/>
  <c r="H30" i="52"/>
  <c r="H31" i="52"/>
  <c r="H42" i="52"/>
  <c r="H32" i="52"/>
  <c r="H33" i="52"/>
  <c r="H43" i="52"/>
  <c r="H44" i="52"/>
  <c r="H45" i="52"/>
  <c r="H46" i="52"/>
  <c r="H36" i="52"/>
  <c r="H48" i="52"/>
  <c r="AA10" i="53" s="1"/>
  <c r="E4" i="55" s="1"/>
  <c r="H50" i="52"/>
  <c r="AA12" i="53" s="1"/>
  <c r="E13" i="55" s="1"/>
  <c r="H52" i="52"/>
  <c r="H10" i="52"/>
  <c r="H3" i="52"/>
  <c r="AA3" i="53" s="1"/>
  <c r="Q10" i="52"/>
  <c r="R10" i="52" s="1"/>
  <c r="S10" i="52" s="1"/>
  <c r="M10" i="52"/>
  <c r="N10" i="52" s="1"/>
  <c r="Q17" i="52"/>
  <c r="R17" i="52" s="1"/>
  <c r="S17" i="52" s="1"/>
  <c r="M17" i="52"/>
  <c r="N17" i="52" s="1"/>
  <c r="Q52" i="52"/>
  <c r="R52" i="52" s="1"/>
  <c r="S52" i="52" s="1"/>
  <c r="M52" i="52"/>
  <c r="N52" i="52" s="1"/>
  <c r="Q50" i="52"/>
  <c r="R50" i="52" s="1"/>
  <c r="S50" i="52" s="1"/>
  <c r="M50" i="52"/>
  <c r="N50" i="52" s="1"/>
  <c r="M49" i="52"/>
  <c r="N49" i="52" s="1"/>
  <c r="O49" i="52" s="1"/>
  <c r="K49" i="52"/>
  <c r="J49" i="52"/>
  <c r="G49" i="52"/>
  <c r="H49" i="52" s="1"/>
  <c r="AA11" i="53" s="1"/>
  <c r="F49" i="52"/>
  <c r="D49" i="52"/>
  <c r="Q49" i="52" s="1"/>
  <c r="R49" i="52" s="1"/>
  <c r="S49" i="52" s="1"/>
  <c r="Q48" i="52"/>
  <c r="R48" i="52" s="1"/>
  <c r="S48" i="52" s="1"/>
  <c r="M48" i="52"/>
  <c r="N48" i="52" s="1"/>
  <c r="M47" i="52"/>
  <c r="N47" i="52" s="1"/>
  <c r="K47" i="52"/>
  <c r="J47" i="52"/>
  <c r="H47" i="52"/>
  <c r="AA9" i="53" s="1"/>
  <c r="E9" i="55" s="1"/>
  <c r="D47" i="52"/>
  <c r="Q47" i="52" s="1"/>
  <c r="R47" i="52" s="1"/>
  <c r="S47" i="52" s="1"/>
  <c r="B47" i="52"/>
  <c r="Q36" i="52"/>
  <c r="R36" i="52" s="1"/>
  <c r="S36" i="52" s="1"/>
  <c r="M36" i="52"/>
  <c r="N36" i="52" s="1"/>
  <c r="Q46" i="52"/>
  <c r="R46" i="52" s="1"/>
  <c r="S46" i="52" s="1"/>
  <c r="M46" i="52"/>
  <c r="N46" i="52" s="1"/>
  <c r="Q45" i="52"/>
  <c r="R45" i="52" s="1"/>
  <c r="S45" i="52" s="1"/>
  <c r="M45" i="52"/>
  <c r="N45" i="52" s="1"/>
  <c r="O45" i="52" s="1"/>
  <c r="Q44" i="52"/>
  <c r="R44" i="52" s="1"/>
  <c r="S44" i="52" s="1"/>
  <c r="M44" i="52"/>
  <c r="N44" i="52" s="1"/>
  <c r="O44" i="52" s="1"/>
  <c r="P44" i="52" s="1"/>
  <c r="Q43" i="52"/>
  <c r="R43" i="52" s="1"/>
  <c r="S43" i="52" s="1"/>
  <c r="M43" i="52"/>
  <c r="N43" i="52" s="1"/>
  <c r="Q33" i="52"/>
  <c r="R33" i="52" s="1"/>
  <c r="S33" i="52" s="1"/>
  <c r="M33" i="52"/>
  <c r="N33" i="52" s="1"/>
  <c r="Q32" i="52"/>
  <c r="R32" i="52" s="1"/>
  <c r="S32" i="52" s="1"/>
  <c r="M32" i="52"/>
  <c r="N32" i="52" s="1"/>
  <c r="Q42" i="52"/>
  <c r="R42" i="52" s="1"/>
  <c r="S42" i="52" s="1"/>
  <c r="M42" i="52"/>
  <c r="N42" i="52" s="1"/>
  <c r="Q31" i="52"/>
  <c r="R31" i="52" s="1"/>
  <c r="S31" i="52" s="1"/>
  <c r="M31" i="52"/>
  <c r="N31" i="52" s="1"/>
  <c r="Q30" i="52"/>
  <c r="R30" i="52" s="1"/>
  <c r="S30" i="52" s="1"/>
  <c r="M30" i="52"/>
  <c r="N30" i="52" s="1"/>
  <c r="O30" i="52" s="1"/>
  <c r="Q41" i="52"/>
  <c r="R41" i="52" s="1"/>
  <c r="S41" i="52" s="1"/>
  <c r="M41" i="52"/>
  <c r="N41" i="52" s="1"/>
  <c r="O41" i="52" s="1"/>
  <c r="P41" i="52" s="1"/>
  <c r="Q35" i="52"/>
  <c r="R35" i="52" s="1"/>
  <c r="S35" i="52" s="1"/>
  <c r="M35" i="52"/>
  <c r="N35" i="52" s="1"/>
  <c r="O35" i="52" s="1"/>
  <c r="P35" i="52" s="1"/>
  <c r="Q29" i="52"/>
  <c r="R29" i="52" s="1"/>
  <c r="S29" i="52" s="1"/>
  <c r="M29" i="52"/>
  <c r="N29" i="52" s="1"/>
  <c r="Q28" i="52"/>
  <c r="R28" i="52" s="1"/>
  <c r="S28" i="52" s="1"/>
  <c r="M28" i="52"/>
  <c r="N28" i="52" s="1"/>
  <c r="Q27" i="52"/>
  <c r="R27" i="52" s="1"/>
  <c r="S27" i="52" s="1"/>
  <c r="M27" i="52"/>
  <c r="N27" i="52" s="1"/>
  <c r="Q26" i="52"/>
  <c r="R26" i="52" s="1"/>
  <c r="S26" i="52" s="1"/>
  <c r="M26" i="52"/>
  <c r="N26" i="52" s="1"/>
  <c r="Q25" i="52"/>
  <c r="R25" i="52" s="1"/>
  <c r="S25" i="52" s="1"/>
  <c r="M25" i="52"/>
  <c r="N25" i="52" s="1"/>
  <c r="Q24" i="52"/>
  <c r="R24" i="52" s="1"/>
  <c r="S24" i="52" s="1"/>
  <c r="M24" i="52"/>
  <c r="N24" i="52" s="1"/>
  <c r="O24" i="52" s="1"/>
  <c r="Q40" i="52"/>
  <c r="R40" i="52" s="1"/>
  <c r="S40" i="52" s="1"/>
  <c r="M40" i="52"/>
  <c r="N40" i="52" s="1"/>
  <c r="O40" i="52" s="1"/>
  <c r="Q23" i="52"/>
  <c r="R23" i="52" s="1"/>
  <c r="S23" i="52" s="1"/>
  <c r="M23" i="52"/>
  <c r="N23" i="52" s="1"/>
  <c r="O23" i="52" s="1"/>
  <c r="P23" i="52" s="1"/>
  <c r="M22" i="52"/>
  <c r="N22" i="52" s="1"/>
  <c r="K22" i="52"/>
  <c r="J22" i="52"/>
  <c r="G22" i="52"/>
  <c r="H22" i="52" s="1"/>
  <c r="F22" i="52"/>
  <c r="D22" i="52"/>
  <c r="Q22" i="52" s="1"/>
  <c r="R22" i="52" s="1"/>
  <c r="S22" i="52" s="1"/>
  <c r="B22" i="52"/>
  <c r="M21" i="52"/>
  <c r="N21" i="52" s="1"/>
  <c r="K21" i="52"/>
  <c r="J21" i="52"/>
  <c r="G21" i="52"/>
  <c r="H21" i="52" s="1"/>
  <c r="F21" i="52"/>
  <c r="D21" i="52"/>
  <c r="Q21" i="52" s="1"/>
  <c r="R21" i="52" s="1"/>
  <c r="S21" i="52" s="1"/>
  <c r="B21" i="52"/>
  <c r="M20" i="52"/>
  <c r="N20" i="52" s="1"/>
  <c r="K20" i="52"/>
  <c r="J20" i="52"/>
  <c r="G20" i="52"/>
  <c r="H20" i="52" s="1"/>
  <c r="F20" i="52"/>
  <c r="D20" i="52"/>
  <c r="Q20" i="52" s="1"/>
  <c r="R20" i="52" s="1"/>
  <c r="S20" i="52" s="1"/>
  <c r="B20" i="52"/>
  <c r="M19" i="52"/>
  <c r="N19" i="52" s="1"/>
  <c r="K19" i="52"/>
  <c r="J19" i="52"/>
  <c r="G19" i="52"/>
  <c r="H19" i="52" s="1"/>
  <c r="F19" i="52"/>
  <c r="D19" i="52"/>
  <c r="Q19" i="52" s="1"/>
  <c r="R19" i="52" s="1"/>
  <c r="S19" i="52" s="1"/>
  <c r="B19" i="52"/>
  <c r="Q18" i="52"/>
  <c r="R18" i="52" s="1"/>
  <c r="S18" i="52" s="1"/>
  <c r="M18" i="52"/>
  <c r="N18" i="52" s="1"/>
  <c r="M11" i="52"/>
  <c r="N11" i="52" s="1"/>
  <c r="K11" i="52"/>
  <c r="J11" i="52"/>
  <c r="G11" i="52"/>
  <c r="H11" i="52" s="1"/>
  <c r="F11" i="52"/>
  <c r="D11" i="52"/>
  <c r="Q11" i="52" s="1"/>
  <c r="R11" i="52" s="1"/>
  <c r="S11" i="52" s="1"/>
  <c r="B11" i="52"/>
  <c r="Q16" i="52"/>
  <c r="R16" i="52" s="1"/>
  <c r="S16" i="52" s="1"/>
  <c r="M16" i="52"/>
  <c r="N16" i="52" s="1"/>
  <c r="Q15" i="52"/>
  <c r="R15" i="52" s="1"/>
  <c r="S15" i="52" s="1"/>
  <c r="M15" i="52"/>
  <c r="N15" i="52" s="1"/>
  <c r="O15" i="52" s="1"/>
  <c r="Q9" i="52"/>
  <c r="R9" i="52" s="1"/>
  <c r="S9" i="52" s="1"/>
  <c r="M9" i="52"/>
  <c r="N9" i="52" s="1"/>
  <c r="Q14" i="52"/>
  <c r="R14" i="52" s="1"/>
  <c r="S14" i="52" s="1"/>
  <c r="M14" i="52"/>
  <c r="N14" i="52" s="1"/>
  <c r="Q8" i="52"/>
  <c r="R8" i="52" s="1"/>
  <c r="S8" i="52" s="1"/>
  <c r="M8" i="52"/>
  <c r="N8" i="52" s="1"/>
  <c r="O8" i="52" s="1"/>
  <c r="Q7" i="52"/>
  <c r="R7" i="52" s="1"/>
  <c r="S7" i="52" s="1"/>
  <c r="M7" i="52"/>
  <c r="N7" i="52" s="1"/>
  <c r="Q6" i="52"/>
  <c r="R6" i="52" s="1"/>
  <c r="S6" i="52" s="1"/>
  <c r="M6" i="52"/>
  <c r="N6" i="52" s="1"/>
  <c r="Q3" i="52"/>
  <c r="R3" i="52" s="1"/>
  <c r="S3" i="52" s="1"/>
  <c r="M3" i="52"/>
  <c r="N3" i="52" s="1"/>
  <c r="E5" i="55" l="1"/>
  <c r="B29" i="20"/>
  <c r="B29" i="21"/>
  <c r="B29" i="22"/>
  <c r="B29" i="15"/>
  <c r="B29" i="23"/>
  <c r="AA6" i="53"/>
  <c r="E12" i="55" s="1"/>
  <c r="AA4" i="53"/>
  <c r="E10" i="55" s="1"/>
  <c r="AA8" i="53"/>
  <c r="E8" i="55" s="1"/>
  <c r="AB11" i="53"/>
  <c r="AB12" i="53"/>
  <c r="AA7" i="53"/>
  <c r="AA5" i="53"/>
  <c r="B16" i="53"/>
  <c r="B26" i="53"/>
  <c r="I11" i="53"/>
  <c r="J11" i="53" s="1"/>
  <c r="J22" i="53" s="1"/>
  <c r="J20" i="53" s="1"/>
  <c r="P7" i="53"/>
  <c r="Q7" i="53" s="1"/>
  <c r="S7" i="53" s="1"/>
  <c r="J9" i="53"/>
  <c r="J25" i="53" s="1"/>
  <c r="Y5" i="53"/>
  <c r="Z5" i="53" s="1"/>
  <c r="X13" i="53"/>
  <c r="I6" i="53"/>
  <c r="J6" i="53" s="1"/>
  <c r="P12" i="53"/>
  <c r="Q12" i="53" s="1"/>
  <c r="S12" i="53" s="1"/>
  <c r="Y6" i="53"/>
  <c r="Z6" i="53" s="1"/>
  <c r="AB6" i="53" s="1"/>
  <c r="P11" i="53"/>
  <c r="Q11" i="53" s="1"/>
  <c r="S11" i="53" s="1"/>
  <c r="Y9" i="53"/>
  <c r="Z9" i="53" s="1"/>
  <c r="AB9" i="53" s="1"/>
  <c r="W13" i="53"/>
  <c r="G13" i="53"/>
  <c r="I3" i="53"/>
  <c r="H13" i="53"/>
  <c r="I7" i="53"/>
  <c r="J7" i="53" s="1"/>
  <c r="P8" i="53"/>
  <c r="Q8" i="53" s="1"/>
  <c r="S8" i="53" s="1"/>
  <c r="I5" i="53"/>
  <c r="J5" i="53" s="1"/>
  <c r="J19" i="53" s="1"/>
  <c r="I10" i="53"/>
  <c r="J10" i="53" s="1"/>
  <c r="I4" i="53"/>
  <c r="J4" i="53" s="1"/>
  <c r="N13" i="53"/>
  <c r="Y10" i="53"/>
  <c r="Z10" i="53" s="1"/>
  <c r="AB10" i="53" s="1"/>
  <c r="O13" i="53"/>
  <c r="P3" i="53"/>
  <c r="Q3" i="53" s="1"/>
  <c r="P4" i="53"/>
  <c r="Q4" i="53" s="1"/>
  <c r="S4" i="53" s="1"/>
  <c r="I12" i="53"/>
  <c r="J12" i="53" s="1"/>
  <c r="AB3" i="53"/>
  <c r="O39" i="52"/>
  <c r="P39" i="52" s="1"/>
  <c r="O38" i="52"/>
  <c r="P38" i="52" s="1"/>
  <c r="O37" i="52"/>
  <c r="P37" i="52" s="1"/>
  <c r="O34" i="52"/>
  <c r="P34" i="52" s="1"/>
  <c r="O51" i="52"/>
  <c r="P51" i="52" s="1"/>
  <c r="O5" i="52"/>
  <c r="P5" i="52" s="1"/>
  <c r="O4" i="52"/>
  <c r="P4" i="52" s="1"/>
  <c r="O13" i="52"/>
  <c r="P13" i="52" s="1"/>
  <c r="O12" i="52"/>
  <c r="P12" i="52" s="1"/>
  <c r="O10" i="52"/>
  <c r="P10" i="52" s="1"/>
  <c r="O17" i="52"/>
  <c r="P17" i="52" s="1"/>
  <c r="P45" i="52"/>
  <c r="P49" i="52"/>
  <c r="P40" i="52"/>
  <c r="O18" i="52"/>
  <c r="P18" i="52" s="1"/>
  <c r="O32" i="52"/>
  <c r="P32" i="52" s="1"/>
  <c r="O26" i="52"/>
  <c r="P26" i="52" s="1"/>
  <c r="O11" i="52"/>
  <c r="P11" i="52" s="1"/>
  <c r="O22" i="52"/>
  <c r="P22" i="52" s="1"/>
  <c r="O29" i="52"/>
  <c r="P29" i="52" s="1"/>
  <c r="N53" i="52"/>
  <c r="O3" i="52"/>
  <c r="O21" i="52"/>
  <c r="P21" i="52" s="1"/>
  <c r="O6" i="52"/>
  <c r="P6" i="52" s="1"/>
  <c r="O7" i="52"/>
  <c r="P7" i="52" s="1"/>
  <c r="O14" i="52"/>
  <c r="P14" i="52" s="1"/>
  <c r="O19" i="52"/>
  <c r="P19" i="52" s="1"/>
  <c r="O25" i="52"/>
  <c r="P25" i="52" s="1"/>
  <c r="O28" i="52"/>
  <c r="P28" i="52" s="1"/>
  <c r="O33" i="52"/>
  <c r="P33" i="52" s="1"/>
  <c r="O31" i="52"/>
  <c r="P31" i="52" s="1"/>
  <c r="O50" i="52"/>
  <c r="P50" i="52" s="1"/>
  <c r="O52" i="52"/>
  <c r="P52" i="52" s="1"/>
  <c r="O16" i="52"/>
  <c r="P16" i="52" s="1"/>
  <c r="O46" i="52"/>
  <c r="P46" i="52" s="1"/>
  <c r="O47" i="52"/>
  <c r="P47" i="52" s="1"/>
  <c r="P8" i="52"/>
  <c r="O9" i="52"/>
  <c r="P9" i="52" s="1"/>
  <c r="P30" i="52"/>
  <c r="O43" i="52"/>
  <c r="P43" i="52" s="1"/>
  <c r="O48" i="52"/>
  <c r="P48" i="52" s="1"/>
  <c r="M53" i="52"/>
  <c r="P15" i="52"/>
  <c r="O27" i="52"/>
  <c r="P27" i="52" s="1"/>
  <c r="O20" i="52"/>
  <c r="P20" i="52" s="1"/>
  <c r="P24" i="52"/>
  <c r="O42" i="52"/>
  <c r="P42" i="52" s="1"/>
  <c r="O36" i="52"/>
  <c r="P36" i="52" s="1"/>
  <c r="M4" i="2"/>
  <c r="M5" i="2"/>
  <c r="M6" i="2"/>
  <c r="M7" i="2"/>
  <c r="M8" i="2"/>
  <c r="M9" i="2"/>
  <c r="M10" i="2"/>
  <c r="M11" i="2"/>
  <c r="M12" i="2"/>
  <c r="V4" i="2"/>
  <c r="V5" i="2"/>
  <c r="V6" i="2"/>
  <c r="V7" i="2"/>
  <c r="V8" i="2"/>
  <c r="V9" i="2"/>
  <c r="V10" i="2"/>
  <c r="V11" i="2"/>
  <c r="V12" i="2"/>
  <c r="V3" i="2"/>
  <c r="E7" i="55" l="1"/>
  <c r="B39" i="22"/>
  <c r="B39" i="15"/>
  <c r="B39" i="21"/>
  <c r="B39" i="23"/>
  <c r="B39" i="20"/>
  <c r="E11" i="55"/>
  <c r="B22" i="23"/>
  <c r="B22" i="20"/>
  <c r="B22" i="21"/>
  <c r="B22" i="22"/>
  <c r="B22" i="15"/>
  <c r="AB4" i="53"/>
  <c r="AB8" i="53"/>
  <c r="E6" i="55"/>
  <c r="AB7" i="53"/>
  <c r="AB5" i="53"/>
  <c r="Z13" i="53"/>
  <c r="I13" i="53"/>
  <c r="Y13" i="53"/>
  <c r="J3" i="53"/>
  <c r="J13" i="53" s="1"/>
  <c r="S13" i="53"/>
  <c r="Q13" i="53"/>
  <c r="P13" i="53"/>
  <c r="O53" i="52"/>
  <c r="P3" i="52"/>
  <c r="P53" i="52" s="1"/>
  <c r="E26" i="4"/>
  <c r="E27" i="4" s="1"/>
  <c r="F25" i="4"/>
  <c r="J24" i="4"/>
  <c r="W11" i="2"/>
  <c r="X11" i="2" s="1"/>
  <c r="W7" i="2"/>
  <c r="X7" i="2" s="1"/>
  <c r="W5" i="2"/>
  <c r="E14" i="55" l="1"/>
  <c r="AB13" i="53"/>
  <c r="J24" i="53"/>
  <c r="J23" i="53" s="1"/>
  <c r="J16" i="53" s="1"/>
  <c r="V13" i="2"/>
  <c r="W3" i="2"/>
  <c r="X3" i="2" s="1"/>
  <c r="Y3" i="2" s="1"/>
  <c r="E28" i="4"/>
  <c r="E29" i="4" s="1"/>
  <c r="E30" i="4" s="1"/>
  <c r="E31" i="4" s="1"/>
  <c r="E32" i="4" s="1"/>
  <c r="Y11" i="2"/>
  <c r="Z11" i="2" s="1"/>
  <c r="AB11" i="2" s="1"/>
  <c r="Y7" i="2"/>
  <c r="Z7" i="2" s="1"/>
  <c r="AB7" i="2" s="1"/>
  <c r="W6" i="2"/>
  <c r="X6" i="2" s="1"/>
  <c r="W10" i="2"/>
  <c r="X10" i="2" s="1"/>
  <c r="W9" i="2"/>
  <c r="X9" i="2" s="1"/>
  <c r="X5" i="2"/>
  <c r="W4" i="2"/>
  <c r="W8" i="2"/>
  <c r="X8" i="2" s="1"/>
  <c r="W12" i="2"/>
  <c r="X12" i="2" s="1"/>
  <c r="W13" i="2" l="1"/>
  <c r="Y10" i="2"/>
  <c r="Z10" i="2" s="1"/>
  <c r="AB10" i="2" s="1"/>
  <c r="Y9" i="2"/>
  <c r="Z9" i="2" s="1"/>
  <c r="AB9" i="2" s="1"/>
  <c r="Y6" i="2"/>
  <c r="Z6" i="2" s="1"/>
  <c r="AB6" i="2" s="1"/>
  <c r="Y12" i="2"/>
  <c r="Z12" i="2" s="1"/>
  <c r="AB12" i="2" s="1"/>
  <c r="X4" i="2"/>
  <c r="Y8" i="2"/>
  <c r="Z8" i="2" s="1"/>
  <c r="AB8" i="2" s="1"/>
  <c r="Z5" i="2"/>
  <c r="AB5" i="2" s="1"/>
  <c r="Y5" i="2"/>
  <c r="Z3" i="2"/>
  <c r="Y4" i="2" l="1"/>
  <c r="Y13" i="2" s="1"/>
  <c r="X13" i="2"/>
  <c r="AB3" i="2"/>
  <c r="Z4" i="2" l="1"/>
  <c r="AB4" i="2" s="1"/>
  <c r="AB13" i="2"/>
  <c r="Z13" i="2"/>
  <c r="I24" i="35"/>
  <c r="H24" i="35"/>
  <c r="J85" i="3" l="1"/>
  <c r="I43" i="6"/>
  <c r="I33" i="6"/>
  <c r="F71" i="3" l="1"/>
  <c r="H71" i="3"/>
  <c r="V11" i="5" l="1"/>
  <c r="M14" i="5"/>
  <c r="AD8" i="5"/>
  <c r="W10" i="5" l="1"/>
  <c r="H43" i="6"/>
  <c r="G45" i="6"/>
  <c r="D45" i="6"/>
  <c r="W11" i="5" l="1"/>
  <c r="X11" i="5" s="1"/>
  <c r="X12" i="5" s="1"/>
  <c r="X13" i="5" s="1"/>
  <c r="D48" i="20"/>
  <c r="D48" i="15"/>
  <c r="D36" i="15"/>
  <c r="W14" i="5" l="1"/>
  <c r="D50" i="15"/>
  <c r="D48" i="23"/>
  <c r="D36" i="23"/>
  <c r="D48" i="22"/>
  <c r="D36" i="22"/>
  <c r="D48" i="21"/>
  <c r="D36" i="21"/>
  <c r="D36" i="20"/>
  <c r="D50" i="20" s="1"/>
  <c r="C25" i="2"/>
  <c r="C24" i="2"/>
  <c r="C22" i="2"/>
  <c r="C21" i="2"/>
  <c r="C19" i="2"/>
  <c r="C18" i="2"/>
  <c r="C17" i="2"/>
  <c r="C13" i="2"/>
  <c r="C20" i="2" l="1"/>
  <c r="C23" i="2"/>
  <c r="C16" i="2" s="1"/>
  <c r="D50" i="23"/>
  <c r="D50" i="22"/>
  <c r="D50" i="21"/>
  <c r="C26" i="2" l="1"/>
  <c r="C7" i="5"/>
  <c r="E14" i="5"/>
  <c r="E13" i="5"/>
  <c r="J32" i="6"/>
  <c r="K32" i="6" s="1"/>
  <c r="L32" i="6" l="1"/>
  <c r="M32" i="6" s="1"/>
  <c r="N32" i="6" s="1"/>
  <c r="A47" i="6"/>
  <c r="O32" i="6" l="1"/>
  <c r="P32" i="6" s="1"/>
  <c r="Q32" i="6" l="1"/>
  <c r="I49" i="35"/>
  <c r="I50" i="35"/>
  <c r="I51" i="35"/>
  <c r="I53" i="35"/>
  <c r="I26" i="35"/>
  <c r="J5" i="4"/>
  <c r="N39" i="6"/>
  <c r="M39" i="6"/>
  <c r="I55" i="35" l="1"/>
  <c r="F68" i="6" l="1"/>
  <c r="G30" i="6"/>
  <c r="F30" i="6" l="1"/>
  <c r="E5" i="48" l="1"/>
  <c r="E6" i="48" l="1"/>
  <c r="M7" i="6" l="1"/>
  <c r="H7" i="6"/>
  <c r="M30" i="6"/>
  <c r="C58" i="15" l="1"/>
  <c r="F5" i="48" l="1"/>
  <c r="G5" i="48" s="1"/>
  <c r="F21" i="2"/>
  <c r="C71" i="3" l="1"/>
  <c r="M28" i="6" l="1"/>
  <c r="L28" i="6"/>
  <c r="L29" i="6" s="1"/>
  <c r="K28" i="6"/>
  <c r="K29" i="6" s="1"/>
  <c r="J28" i="6"/>
  <c r="J29" i="6" s="1"/>
  <c r="H30" i="6"/>
  <c r="M29" i="6" l="1"/>
  <c r="I29" i="6"/>
  <c r="I71" i="23" l="1"/>
  <c r="H49" i="35" l="1"/>
  <c r="H50" i="35"/>
  <c r="H51" i="35"/>
  <c r="D49" i="35"/>
  <c r="E49" i="35"/>
  <c r="F49" i="35"/>
  <c r="G49" i="35"/>
  <c r="D50" i="35"/>
  <c r="E50" i="35"/>
  <c r="F50" i="35"/>
  <c r="G50" i="35"/>
  <c r="D51" i="35"/>
  <c r="E51" i="35"/>
  <c r="F51" i="35"/>
  <c r="F53" i="35" s="1"/>
  <c r="G51" i="35"/>
  <c r="C50" i="35"/>
  <c r="C51" i="35"/>
  <c r="C49" i="35"/>
  <c r="G24" i="35"/>
  <c r="G26" i="35" s="1"/>
  <c r="C24" i="35"/>
  <c r="B39" i="35"/>
  <c r="B41" i="35"/>
  <c r="H53" i="35" l="1"/>
  <c r="H55" i="35" s="1"/>
  <c r="E53" i="35"/>
  <c r="E55" i="35" s="1"/>
  <c r="G53" i="35"/>
  <c r="G55" i="35" s="1"/>
  <c r="D53" i="35"/>
  <c r="D55" i="35" s="1"/>
  <c r="C53" i="35"/>
  <c r="C55" i="35" s="1"/>
  <c r="C26" i="35"/>
  <c r="E24" i="35"/>
  <c r="E26" i="35" s="1"/>
  <c r="H26" i="35"/>
  <c r="F55" i="35"/>
  <c r="D24" i="35"/>
  <c r="D26" i="35" s="1"/>
  <c r="F24" i="35"/>
  <c r="F26" i="35" s="1"/>
  <c r="AJ48" i="5" l="1"/>
  <c r="AJ49" i="5"/>
  <c r="AJ47" i="5"/>
  <c r="AJ46" i="5"/>
  <c r="AJ45" i="5"/>
  <c r="AJ44" i="5"/>
  <c r="AJ43" i="5"/>
  <c r="AJ42" i="5"/>
  <c r="AJ41" i="5"/>
  <c r="AJ40" i="5"/>
  <c r="AJ39" i="5"/>
  <c r="AJ38" i="5"/>
  <c r="AJ37" i="5"/>
  <c r="AJ36" i="5"/>
  <c r="AJ35" i="5"/>
  <c r="AJ34" i="5"/>
  <c r="AJ33" i="5"/>
  <c r="AJ32" i="5"/>
  <c r="AJ31" i="5"/>
  <c r="AJ30" i="5"/>
  <c r="AJ29" i="5"/>
  <c r="AJ28" i="5"/>
  <c r="AJ27" i="5"/>
  <c r="AJ26" i="5"/>
  <c r="AJ25" i="5"/>
  <c r="AJ24" i="5"/>
  <c r="AJ23" i="5"/>
  <c r="AJ22" i="5"/>
  <c r="AJ21" i="5"/>
  <c r="AJ20" i="5"/>
  <c r="AJ19" i="5"/>
  <c r="AJ18" i="5"/>
  <c r="AJ17" i="5"/>
  <c r="AJ16" i="5"/>
  <c r="AJ15" i="5"/>
  <c r="AJ14" i="5"/>
  <c r="AJ12" i="5"/>
  <c r="AJ11" i="5"/>
  <c r="AJ10" i="5"/>
  <c r="AJ9" i="5"/>
  <c r="AJ8" i="5"/>
  <c r="AJ7" i="5"/>
  <c r="AD9" i="5" l="1"/>
  <c r="AD10" i="5" s="1"/>
  <c r="F72" i="23"/>
  <c r="F72" i="22"/>
  <c r="F72" i="21"/>
  <c r="F72" i="20"/>
  <c r="F72" i="15"/>
  <c r="C72" i="15"/>
  <c r="AE11" i="5" l="1"/>
  <c r="AE12" i="5" s="1"/>
  <c r="AE10" i="5"/>
  <c r="AD14" i="5"/>
  <c r="C40" i="35" l="1"/>
  <c r="D40" i="35"/>
  <c r="C80" i="15"/>
  <c r="F72" i="3"/>
  <c r="E40" i="35" l="1"/>
  <c r="C80" i="20"/>
  <c r="B22" i="2"/>
  <c r="H43" i="1"/>
  <c r="E12" i="2"/>
  <c r="M41" i="1"/>
  <c r="N41" i="1" s="1"/>
  <c r="O41" i="1" s="1"/>
  <c r="I41" i="1"/>
  <c r="J41" i="1" s="1"/>
  <c r="C80" i="21" l="1"/>
  <c r="C80" i="22" s="1"/>
  <c r="C80" i="23" s="1"/>
  <c r="F40" i="35"/>
  <c r="K41" i="1"/>
  <c r="L41" i="1" s="1"/>
  <c r="E11" i="2"/>
  <c r="E10" i="2"/>
  <c r="E9" i="2"/>
  <c r="E8" i="2"/>
  <c r="E7" i="2"/>
  <c r="E6" i="2"/>
  <c r="E5" i="2"/>
  <c r="E4" i="2"/>
  <c r="F3" i="2"/>
  <c r="F4" i="2" l="1"/>
  <c r="D4" i="2" s="1"/>
  <c r="H40" i="35"/>
  <c r="G40" i="35"/>
  <c r="G4" i="2" l="1"/>
  <c r="H4" i="2" s="1"/>
  <c r="C82" i="15"/>
  <c r="C78" i="3"/>
  <c r="I77" i="3"/>
  <c r="C77" i="3"/>
  <c r="I69" i="3"/>
  <c r="C67" i="20" l="1"/>
  <c r="C69" i="20"/>
  <c r="C70" i="20"/>
  <c r="C64" i="20"/>
  <c r="C76" i="20"/>
  <c r="C65" i="20"/>
  <c r="C66" i="20"/>
  <c r="C82" i="20"/>
  <c r="C78" i="20"/>
  <c r="C71" i="20"/>
  <c r="I65" i="15"/>
  <c r="C67" i="21" l="1"/>
  <c r="C67" i="22" s="1"/>
  <c r="C67" i="23" s="1"/>
  <c r="C76" i="21"/>
  <c r="C76" i="22" s="1"/>
  <c r="C76" i="23" s="1"/>
  <c r="C65" i="21"/>
  <c r="C65" i="22" s="1"/>
  <c r="C65" i="23" s="1"/>
  <c r="C78" i="21"/>
  <c r="C78" i="22" s="1"/>
  <c r="C78" i="23" s="1"/>
  <c r="C74" i="21"/>
  <c r="C74" i="22" s="1"/>
  <c r="C70" i="21"/>
  <c r="C70" i="22" s="1"/>
  <c r="C70" i="23" s="1"/>
  <c r="C64" i="21"/>
  <c r="C64" i="22" s="1"/>
  <c r="C64" i="23" s="1"/>
  <c r="C82" i="21"/>
  <c r="C82" i="22" s="1"/>
  <c r="C82" i="23" s="1"/>
  <c r="C66" i="21"/>
  <c r="C66" i="22" s="1"/>
  <c r="C66" i="23" s="1"/>
  <c r="C69" i="21"/>
  <c r="C71" i="21"/>
  <c r="I40" i="35" l="1"/>
  <c r="C69" i="22"/>
  <c r="C71" i="22"/>
  <c r="E71" i="3"/>
  <c r="C71" i="23" l="1"/>
  <c r="C69" i="23"/>
  <c r="C57" i="3"/>
  <c r="C56" i="3"/>
  <c r="I12" i="35" l="1"/>
  <c r="O8" i="5" l="1"/>
  <c r="C79" i="15"/>
  <c r="C76" i="3"/>
  <c r="C70" i="3"/>
  <c r="C79" i="20" l="1"/>
  <c r="O9" i="5"/>
  <c r="O10" i="5" s="1"/>
  <c r="C79" i="21" l="1"/>
  <c r="C79" i="22" s="1"/>
  <c r="C79" i="23" s="1"/>
  <c r="P10" i="5"/>
  <c r="P11" i="5"/>
  <c r="P12" i="5" s="1"/>
  <c r="V12" i="5" l="1"/>
  <c r="O14" i="5"/>
  <c r="B96" i="15"/>
  <c r="B96" i="21" s="1"/>
  <c r="B94" i="15"/>
  <c r="B96" i="22" l="1"/>
  <c r="B96" i="23" s="1"/>
  <c r="B32" i="20"/>
  <c r="B94" i="20"/>
  <c r="B94" i="21" s="1"/>
  <c r="B94" i="22" s="1"/>
  <c r="B44" i="20"/>
  <c r="V13" i="5"/>
  <c r="U14" i="5" s="1"/>
  <c r="B94" i="23" l="1"/>
  <c r="E45" i="21"/>
  <c r="B44" i="21"/>
  <c r="E33" i="21"/>
  <c r="B32" i="21"/>
  <c r="H18" i="23"/>
  <c r="H18" i="22"/>
  <c r="B32" i="22" l="1"/>
  <c r="B44" i="22"/>
  <c r="B34" i="22"/>
  <c r="B33" i="22"/>
  <c r="B33" i="23" l="1"/>
  <c r="B34" i="23"/>
  <c r="B44" i="23"/>
  <c r="B32" i="23"/>
  <c r="M84" i="23"/>
  <c r="E79" i="23"/>
  <c r="D77" i="23"/>
  <c r="D76" i="23"/>
  <c r="D73" i="23"/>
  <c r="D72" i="23"/>
  <c r="F71" i="23"/>
  <c r="D71" i="23"/>
  <c r="D70" i="23"/>
  <c r="D69" i="23"/>
  <c r="I69" i="23" s="1"/>
  <c r="D65" i="23"/>
  <c r="D64" i="23"/>
  <c r="C57" i="23"/>
  <c r="C56" i="23"/>
  <c r="H13" i="23"/>
  <c r="C13" i="23"/>
  <c r="C12" i="23"/>
  <c r="B12" i="23"/>
  <c r="C11" i="23"/>
  <c r="B11" i="23"/>
  <c r="H10" i="23"/>
  <c r="B10" i="23"/>
  <c r="D9" i="23"/>
  <c r="H6" i="23"/>
  <c r="M84" i="22"/>
  <c r="E79" i="22"/>
  <c r="D77" i="22"/>
  <c r="D76" i="22"/>
  <c r="D73" i="22"/>
  <c r="D72" i="22"/>
  <c r="F71" i="22"/>
  <c r="D71" i="22"/>
  <c r="D70" i="22"/>
  <c r="D69" i="22"/>
  <c r="I69" i="22" s="1"/>
  <c r="D65" i="22"/>
  <c r="D64" i="22"/>
  <c r="C57" i="22"/>
  <c r="C56" i="22"/>
  <c r="H13" i="22"/>
  <c r="C13" i="22"/>
  <c r="C12" i="22"/>
  <c r="B12" i="22"/>
  <c r="C11" i="22"/>
  <c r="B11" i="22"/>
  <c r="H10" i="22"/>
  <c r="B10" i="22"/>
  <c r="D9" i="22"/>
  <c r="H6" i="22"/>
  <c r="C81" i="3"/>
  <c r="C81" i="15" s="1"/>
  <c r="C81" i="20" l="1"/>
  <c r="F28" i="22"/>
  <c r="F28" i="23"/>
  <c r="G71" i="22"/>
  <c r="H71" i="22" s="1"/>
  <c r="N84" i="23"/>
  <c r="J84" i="23"/>
  <c r="D75" i="23"/>
  <c r="D55" i="23"/>
  <c r="G71" i="23"/>
  <c r="H71" i="23" s="1"/>
  <c r="N84" i="22"/>
  <c r="J84" i="22"/>
  <c r="D75" i="22"/>
  <c r="D55" i="22"/>
  <c r="I83" i="15"/>
  <c r="H18" i="21"/>
  <c r="D9" i="21"/>
  <c r="D9" i="20"/>
  <c r="D9" i="15"/>
  <c r="M84" i="21"/>
  <c r="E79" i="21"/>
  <c r="D77" i="21"/>
  <c r="D76" i="21"/>
  <c r="D73" i="21"/>
  <c r="D72" i="21"/>
  <c r="F71" i="21"/>
  <c r="D71" i="21"/>
  <c r="D70" i="21"/>
  <c r="D69" i="21"/>
  <c r="I69" i="21" s="1"/>
  <c r="D65" i="21"/>
  <c r="D64" i="21"/>
  <c r="C57" i="21"/>
  <c r="C56" i="21"/>
  <c r="H13" i="21"/>
  <c r="C13" i="21"/>
  <c r="C12" i="21"/>
  <c r="B12" i="21"/>
  <c r="C11" i="21"/>
  <c r="B11" i="21"/>
  <c r="H10" i="21"/>
  <c r="B10" i="21"/>
  <c r="H6" i="21"/>
  <c r="G71" i="21" l="1"/>
  <c r="H71" i="21" s="1"/>
  <c r="I71" i="21"/>
  <c r="C81" i="21"/>
  <c r="C81" i="22" s="1"/>
  <c r="I83" i="20"/>
  <c r="F28" i="21"/>
  <c r="D57" i="23"/>
  <c r="I57" i="23" s="1"/>
  <c r="J57" i="23" s="1"/>
  <c r="D56" i="23"/>
  <c r="I56" i="23" s="1"/>
  <c r="J56" i="23" s="1"/>
  <c r="I55" i="23"/>
  <c r="D57" i="22"/>
  <c r="I57" i="22" s="1"/>
  <c r="J57" i="22" s="1"/>
  <c r="D56" i="22"/>
  <c r="I56" i="22" s="1"/>
  <c r="J56" i="22" s="1"/>
  <c r="I55" i="22"/>
  <c r="N84" i="21"/>
  <c r="D75" i="21"/>
  <c r="D55" i="21"/>
  <c r="J84" i="21"/>
  <c r="I81" i="21"/>
  <c r="C77" i="15"/>
  <c r="C77" i="20" s="1"/>
  <c r="C56" i="20"/>
  <c r="I83" i="21" l="1"/>
  <c r="I81" i="22"/>
  <c r="M81" i="22" s="1"/>
  <c r="N81" i="22" s="1"/>
  <c r="C81" i="23"/>
  <c r="C75" i="20"/>
  <c r="J81" i="22"/>
  <c r="G28" i="21"/>
  <c r="H28" i="21" s="1"/>
  <c r="F12" i="35" s="1"/>
  <c r="F41" i="35" s="1"/>
  <c r="G28" i="23"/>
  <c r="G28" i="22"/>
  <c r="I76" i="21"/>
  <c r="I79" i="21"/>
  <c r="C77" i="21"/>
  <c r="I77" i="21" s="1"/>
  <c r="C77" i="22"/>
  <c r="I82" i="21"/>
  <c r="I78" i="21"/>
  <c r="I65" i="21"/>
  <c r="I70" i="21"/>
  <c r="I64" i="21"/>
  <c r="J55" i="23"/>
  <c r="M55" i="23"/>
  <c r="J55" i="22"/>
  <c r="M55" i="22"/>
  <c r="M81" i="21"/>
  <c r="N81" i="21" s="1"/>
  <c r="J81" i="21"/>
  <c r="D57" i="21"/>
  <c r="I57" i="21" s="1"/>
  <c r="J57" i="21" s="1"/>
  <c r="D56" i="21"/>
  <c r="I56" i="21" s="1"/>
  <c r="J56" i="21" s="1"/>
  <c r="I55" i="21"/>
  <c r="J83" i="21" l="1"/>
  <c r="I83" i="22"/>
  <c r="C75" i="21"/>
  <c r="I81" i="23"/>
  <c r="H28" i="22"/>
  <c r="I28" i="21"/>
  <c r="M28" i="21" s="1"/>
  <c r="N28" i="21" s="1"/>
  <c r="H28" i="23"/>
  <c r="J64" i="21"/>
  <c r="M64" i="21"/>
  <c r="N64" i="21" s="1"/>
  <c r="J70" i="21"/>
  <c r="M70" i="21"/>
  <c r="N70" i="21" s="1"/>
  <c r="J65" i="21"/>
  <c r="M65" i="21"/>
  <c r="N65" i="21" s="1"/>
  <c r="M78" i="21"/>
  <c r="N78" i="21" s="1"/>
  <c r="J78" i="21"/>
  <c r="J69" i="21"/>
  <c r="M69" i="21"/>
  <c r="N69" i="21" s="1"/>
  <c r="M82" i="21"/>
  <c r="N82" i="21" s="1"/>
  <c r="J82" i="21"/>
  <c r="I77" i="22"/>
  <c r="C77" i="23"/>
  <c r="J71" i="21"/>
  <c r="M71" i="21"/>
  <c r="N71" i="21" s="1"/>
  <c r="M79" i="21"/>
  <c r="N79" i="21" s="1"/>
  <c r="J79" i="21"/>
  <c r="M76" i="21"/>
  <c r="N76" i="21" s="1"/>
  <c r="J76" i="21"/>
  <c r="I64" i="23"/>
  <c r="I64" i="22"/>
  <c r="I70" i="23"/>
  <c r="I70" i="22"/>
  <c r="I65" i="23"/>
  <c r="I65" i="22"/>
  <c r="I78" i="23"/>
  <c r="I78" i="22"/>
  <c r="I82" i="23"/>
  <c r="M77" i="21"/>
  <c r="N77" i="21" s="1"/>
  <c r="J77" i="21"/>
  <c r="I71" i="22"/>
  <c r="I79" i="23"/>
  <c r="I79" i="22"/>
  <c r="I76" i="22"/>
  <c r="I76" i="23"/>
  <c r="N55" i="23"/>
  <c r="N55" i="22"/>
  <c r="J55" i="21"/>
  <c r="M55" i="21"/>
  <c r="J83" i="22" l="1"/>
  <c r="I83" i="23"/>
  <c r="I77" i="23"/>
  <c r="M77" i="23" s="1"/>
  <c r="N77" i="23" s="1"/>
  <c r="J81" i="23"/>
  <c r="M81" i="23"/>
  <c r="N81" i="23" s="1"/>
  <c r="C75" i="22"/>
  <c r="I75" i="21"/>
  <c r="J28" i="21"/>
  <c r="I28" i="22"/>
  <c r="M28" i="22" s="1"/>
  <c r="N28" i="22" s="1"/>
  <c r="G12" i="35"/>
  <c r="G41" i="35" s="1"/>
  <c r="I28" i="23"/>
  <c r="M28" i="23" s="1"/>
  <c r="N28" i="23" s="1"/>
  <c r="H12" i="35"/>
  <c r="H41" i="35" s="1"/>
  <c r="J76" i="23"/>
  <c r="M76" i="23"/>
  <c r="N76" i="23" s="1"/>
  <c r="J79" i="22"/>
  <c r="M79" i="22"/>
  <c r="N79" i="22" s="1"/>
  <c r="M71" i="23"/>
  <c r="N71" i="23" s="1"/>
  <c r="J71" i="23"/>
  <c r="M82" i="22"/>
  <c r="N82" i="22" s="1"/>
  <c r="J82" i="22"/>
  <c r="M69" i="22"/>
  <c r="N69" i="22" s="1"/>
  <c r="J69" i="22"/>
  <c r="J78" i="22"/>
  <c r="M78" i="22"/>
  <c r="N78" i="22" s="1"/>
  <c r="M65" i="22"/>
  <c r="N65" i="22" s="1"/>
  <c r="J65" i="22"/>
  <c r="M70" i="22"/>
  <c r="N70" i="22" s="1"/>
  <c r="J70" i="22"/>
  <c r="M64" i="22"/>
  <c r="J64" i="22"/>
  <c r="J77" i="22"/>
  <c r="M77" i="22"/>
  <c r="N77" i="22" s="1"/>
  <c r="J76" i="22"/>
  <c r="M76" i="22"/>
  <c r="N76" i="22" s="1"/>
  <c r="J79" i="23"/>
  <c r="M79" i="23"/>
  <c r="N79" i="23" s="1"/>
  <c r="M71" i="22"/>
  <c r="N71" i="22" s="1"/>
  <c r="J71" i="22"/>
  <c r="J82" i="23"/>
  <c r="M82" i="23"/>
  <c r="N82" i="23" s="1"/>
  <c r="M69" i="23"/>
  <c r="N69" i="23" s="1"/>
  <c r="J69" i="23"/>
  <c r="J78" i="23"/>
  <c r="M78" i="23"/>
  <c r="N78" i="23" s="1"/>
  <c r="M65" i="23"/>
  <c r="N65" i="23" s="1"/>
  <c r="J65" i="23"/>
  <c r="M70" i="23"/>
  <c r="N70" i="23" s="1"/>
  <c r="J70" i="23"/>
  <c r="M64" i="23"/>
  <c r="J64" i="23"/>
  <c r="N55" i="21"/>
  <c r="J83" i="23" l="1"/>
  <c r="J77" i="23"/>
  <c r="M75" i="21"/>
  <c r="N75" i="21" s="1"/>
  <c r="J75" i="21"/>
  <c r="C75" i="23"/>
  <c r="I75" i="22"/>
  <c r="J28" i="22"/>
  <c r="J28" i="23"/>
  <c r="I41" i="35"/>
  <c r="N64" i="23"/>
  <c r="N64" i="22"/>
  <c r="I75" i="23" l="1"/>
  <c r="J75" i="22"/>
  <c r="M75" i="22"/>
  <c r="N75" i="22" s="1"/>
  <c r="H18" i="20"/>
  <c r="M84" i="20"/>
  <c r="I82" i="20"/>
  <c r="M82" i="20" s="1"/>
  <c r="I81" i="20"/>
  <c r="E79" i="20"/>
  <c r="I79" i="20" s="1"/>
  <c r="I78" i="20"/>
  <c r="M78" i="20" s="1"/>
  <c r="D77" i="20"/>
  <c r="I77" i="20" s="1"/>
  <c r="D76" i="20"/>
  <c r="I76" i="20" s="1"/>
  <c r="M76" i="20" s="1"/>
  <c r="D73" i="20"/>
  <c r="D72" i="20"/>
  <c r="F71" i="20"/>
  <c r="D71" i="20"/>
  <c r="I71" i="20" s="1"/>
  <c r="D70" i="20"/>
  <c r="I70" i="20" s="1"/>
  <c r="D69" i="20"/>
  <c r="I69" i="20" s="1"/>
  <c r="D65" i="20"/>
  <c r="I65" i="20"/>
  <c r="D64" i="20"/>
  <c r="C57" i="20"/>
  <c r="H13" i="20"/>
  <c r="C13" i="20"/>
  <c r="C12" i="20"/>
  <c r="B12" i="20"/>
  <c r="C11" i="20"/>
  <c r="B11" i="20"/>
  <c r="H10" i="20"/>
  <c r="B10" i="20"/>
  <c r="H6" i="20"/>
  <c r="C47" i="6"/>
  <c r="C45" i="6"/>
  <c r="G71" i="20" l="1"/>
  <c r="H71" i="20" s="1"/>
  <c r="J75" i="23"/>
  <c r="M75" i="23"/>
  <c r="N75" i="23" s="1"/>
  <c r="F28" i="20"/>
  <c r="G28" i="20" s="1"/>
  <c r="H28" i="20" s="1"/>
  <c r="E12" i="35" s="1"/>
  <c r="E41" i="35" s="1"/>
  <c r="D55" i="20"/>
  <c r="I55" i="20" s="1"/>
  <c r="N82" i="20"/>
  <c r="N76" i="20"/>
  <c r="N78" i="20"/>
  <c r="J83" i="20"/>
  <c r="I64" i="20"/>
  <c r="M64" i="20" s="1"/>
  <c r="J84" i="20"/>
  <c r="J79" i="20"/>
  <c r="M79" i="20"/>
  <c r="N79" i="20" s="1"/>
  <c r="M69" i="20"/>
  <c r="N69" i="20" s="1"/>
  <c r="J69" i="20"/>
  <c r="M71" i="20"/>
  <c r="N71" i="20" s="1"/>
  <c r="J71" i="20"/>
  <c r="M65" i="20"/>
  <c r="N65" i="20" s="1"/>
  <c r="J65" i="20"/>
  <c r="M70" i="20"/>
  <c r="N70" i="20" s="1"/>
  <c r="J70" i="20"/>
  <c r="J77" i="20"/>
  <c r="M77" i="20"/>
  <c r="N77" i="20" s="1"/>
  <c r="J81" i="20"/>
  <c r="M81" i="20"/>
  <c r="N81" i="20" s="1"/>
  <c r="D75" i="20"/>
  <c r="I75" i="20" s="1"/>
  <c r="J76" i="20"/>
  <c r="J78" i="20"/>
  <c r="J82" i="20"/>
  <c r="N84" i="20"/>
  <c r="D56" i="20" l="1"/>
  <c r="I56" i="20" s="1"/>
  <c r="J56" i="20" s="1"/>
  <c r="D57" i="20"/>
  <c r="I57" i="20" s="1"/>
  <c r="J57" i="20" s="1"/>
  <c r="J64" i="20"/>
  <c r="J75" i="20"/>
  <c r="M75" i="20"/>
  <c r="N75" i="20" s="1"/>
  <c r="I28" i="20"/>
  <c r="N64" i="20"/>
  <c r="M55" i="20"/>
  <c r="J55" i="20"/>
  <c r="M28" i="20" l="1"/>
  <c r="N28" i="20" s="1"/>
  <c r="J28" i="20"/>
  <c r="N55" i="20"/>
  <c r="D76" i="15"/>
  <c r="D73" i="15"/>
  <c r="D69" i="15"/>
  <c r="I69" i="15" s="1"/>
  <c r="D70" i="15"/>
  <c r="D71" i="15"/>
  <c r="I71" i="15" s="1"/>
  <c r="D72" i="15"/>
  <c r="D77" i="15"/>
  <c r="E79" i="15"/>
  <c r="I81" i="15"/>
  <c r="I82" i="15"/>
  <c r="M82" i="15" s="1"/>
  <c r="D64" i="15"/>
  <c r="I64" i="15" s="1"/>
  <c r="M64" i="15" s="1"/>
  <c r="I78" i="15"/>
  <c r="C56" i="15"/>
  <c r="H10" i="15"/>
  <c r="H6" i="15"/>
  <c r="H9" i="15" s="1"/>
  <c r="C11" i="15"/>
  <c r="C13" i="15"/>
  <c r="C12" i="15"/>
  <c r="B11" i="15"/>
  <c r="B12" i="15"/>
  <c r="B10" i="15"/>
  <c r="H18" i="15"/>
  <c r="M84" i="15"/>
  <c r="I77" i="15"/>
  <c r="I76" i="15"/>
  <c r="F71" i="15"/>
  <c r="M65" i="15"/>
  <c r="C57" i="15"/>
  <c r="H13" i="15"/>
  <c r="C40" i="15" l="1"/>
  <c r="C27" i="15"/>
  <c r="C21" i="15"/>
  <c r="C39" i="15"/>
  <c r="C26" i="15"/>
  <c r="C29" i="15"/>
  <c r="C25" i="15"/>
  <c r="C41" i="15"/>
  <c r="C28" i="15"/>
  <c r="C22" i="15"/>
  <c r="F28" i="15"/>
  <c r="G28" i="15" s="1"/>
  <c r="G71" i="15"/>
  <c r="H71" i="15" s="1"/>
  <c r="N65" i="15"/>
  <c r="D75" i="15"/>
  <c r="I75" i="15" s="1"/>
  <c r="I72" i="15"/>
  <c r="M72" i="15" s="1"/>
  <c r="N72" i="15" s="1"/>
  <c r="C72" i="20"/>
  <c r="I79" i="15"/>
  <c r="M79" i="15" s="1"/>
  <c r="N79" i="15" s="1"/>
  <c r="M71" i="15"/>
  <c r="N71" i="15" s="1"/>
  <c r="I70" i="15"/>
  <c r="M70" i="15" s="1"/>
  <c r="N70" i="15" s="1"/>
  <c r="J83" i="15"/>
  <c r="D55" i="15"/>
  <c r="J84" i="15"/>
  <c r="N64" i="15"/>
  <c r="M69" i="15"/>
  <c r="N69" i="15" s="1"/>
  <c r="J69" i="15"/>
  <c r="M76" i="15"/>
  <c r="N76" i="15" s="1"/>
  <c r="J76" i="15"/>
  <c r="M78" i="15"/>
  <c r="N78" i="15" s="1"/>
  <c r="J78" i="15"/>
  <c r="M81" i="15"/>
  <c r="N81" i="15" s="1"/>
  <c r="J81" i="15"/>
  <c r="J65" i="15"/>
  <c r="M77" i="15"/>
  <c r="N77" i="15" s="1"/>
  <c r="J77" i="15"/>
  <c r="N82" i="15"/>
  <c r="N84" i="15"/>
  <c r="J82" i="15"/>
  <c r="J64" i="15"/>
  <c r="H13" i="3"/>
  <c r="J8" i="3"/>
  <c r="H7" i="3"/>
  <c r="B13" i="3"/>
  <c r="N8" i="3" l="1"/>
  <c r="F28" i="3"/>
  <c r="G28" i="3" s="1"/>
  <c r="H28" i="3" s="1"/>
  <c r="C12" i="35" s="1"/>
  <c r="C41" i="35" s="1"/>
  <c r="H28" i="15"/>
  <c r="H7" i="22"/>
  <c r="H7" i="15"/>
  <c r="B13" i="23"/>
  <c r="B13" i="22"/>
  <c r="B13" i="21"/>
  <c r="B13" i="20"/>
  <c r="B13" i="15"/>
  <c r="J72" i="15"/>
  <c r="C72" i="21"/>
  <c r="I72" i="20"/>
  <c r="J71" i="15"/>
  <c r="J79" i="15"/>
  <c r="J70" i="15"/>
  <c r="D57" i="15"/>
  <c r="I57" i="15" s="1"/>
  <c r="J57" i="15" s="1"/>
  <c r="D56" i="15"/>
  <c r="I56" i="15" s="1"/>
  <c r="J56" i="15" s="1"/>
  <c r="I55" i="15"/>
  <c r="M75" i="15"/>
  <c r="N75" i="15" s="1"/>
  <c r="J75" i="15"/>
  <c r="D9" i="3"/>
  <c r="H57" i="6"/>
  <c r="I57" i="6"/>
  <c r="J57" i="6"/>
  <c r="K57" i="6"/>
  <c r="G39" i="6"/>
  <c r="I28" i="15" l="1"/>
  <c r="M28" i="15" s="1"/>
  <c r="N28" i="15" s="1"/>
  <c r="D12" i="35"/>
  <c r="D41" i="35" s="1"/>
  <c r="I28" i="3"/>
  <c r="M72" i="20"/>
  <c r="J72" i="20"/>
  <c r="C72" i="22"/>
  <c r="I72" i="21"/>
  <c r="H8" i="3"/>
  <c r="H9" i="3" s="1"/>
  <c r="J55" i="15"/>
  <c r="M55" i="15"/>
  <c r="M10" i="6"/>
  <c r="O10" i="6" s="1"/>
  <c r="I72" i="3"/>
  <c r="O9" i="6"/>
  <c r="O21" i="6"/>
  <c r="O23" i="6"/>
  <c r="O68" i="6"/>
  <c r="O56" i="6"/>
  <c r="M54" i="6"/>
  <c r="M62" i="6"/>
  <c r="M66" i="6"/>
  <c r="M15" i="6"/>
  <c r="M19" i="6"/>
  <c r="C41" i="3" l="1"/>
  <c r="C22" i="3"/>
  <c r="C40" i="3"/>
  <c r="C21" i="3"/>
  <c r="C39" i="3"/>
  <c r="C25" i="3"/>
  <c r="C29" i="3"/>
  <c r="C28" i="3"/>
  <c r="C27" i="3"/>
  <c r="C26" i="3"/>
  <c r="J28" i="15"/>
  <c r="C72" i="23"/>
  <c r="I72" i="22"/>
  <c r="M72" i="21"/>
  <c r="J72" i="21"/>
  <c r="N72" i="20"/>
  <c r="N55" i="15"/>
  <c r="M11" i="6"/>
  <c r="O11" i="6" s="1"/>
  <c r="M17" i="6"/>
  <c r="H18" i="3"/>
  <c r="I72" i="23" l="1"/>
  <c r="M72" i="23" s="1"/>
  <c r="J72" i="22"/>
  <c r="M72" i="22"/>
  <c r="N72" i="21"/>
  <c r="J72" i="23"/>
  <c r="H19" i="6"/>
  <c r="C23" i="6"/>
  <c r="C21" i="6"/>
  <c r="C17" i="6"/>
  <c r="N72" i="23" l="1"/>
  <c r="N72" i="22"/>
  <c r="U57" i="6"/>
  <c r="U56" i="6"/>
  <c r="F23" i="6" l="1"/>
  <c r="E58" i="6"/>
  <c r="H10" i="6"/>
  <c r="A9" i="6" l="1"/>
  <c r="I10" i="6" l="1"/>
  <c r="J10" i="6"/>
  <c r="J17" i="6" s="1"/>
  <c r="K10" i="6"/>
  <c r="L10" i="6"/>
  <c r="I64" i="6"/>
  <c r="H66" i="6"/>
  <c r="G11" i="6"/>
  <c r="G23" i="6"/>
  <c r="I19" i="6"/>
  <c r="J19" i="6"/>
  <c r="K19" i="6"/>
  <c r="L19" i="6"/>
  <c r="E70" i="6"/>
  <c r="I66" i="6"/>
  <c r="J66" i="6"/>
  <c r="K66" i="6"/>
  <c r="L66" i="6"/>
  <c r="G68" i="6"/>
  <c r="A21" i="6"/>
  <c r="A45" i="6"/>
  <c r="A68" i="6"/>
  <c r="E68" i="6"/>
  <c r="D68" i="6"/>
  <c r="C68" i="6"/>
  <c r="G21" i="6"/>
  <c r="F45" i="6"/>
  <c r="E45" i="6"/>
  <c r="C15" i="6"/>
  <c r="D21" i="6"/>
  <c r="E21" i="6"/>
  <c r="F21" i="6"/>
  <c r="I39" i="6"/>
  <c r="J39" i="6"/>
  <c r="K39" i="6"/>
  <c r="L39" i="6"/>
  <c r="K64" i="6"/>
  <c r="J64" i="6"/>
  <c r="G41" i="6"/>
  <c r="A41" i="6" s="1"/>
  <c r="L17" i="6"/>
  <c r="K17" i="6"/>
  <c r="I17" i="6"/>
  <c r="G17" i="6"/>
  <c r="L15" i="6" l="1"/>
  <c r="K15" i="6"/>
  <c r="J15" i="6"/>
  <c r="I15" i="6"/>
  <c r="H39" i="6"/>
  <c r="H15" i="6"/>
  <c r="G64" i="6"/>
  <c r="H62" i="6"/>
  <c r="L62" i="6"/>
  <c r="K62" i="6"/>
  <c r="J62" i="6"/>
  <c r="I62" i="6"/>
  <c r="G70" i="6"/>
  <c r="F70" i="6"/>
  <c r="A70" i="6" s="1"/>
  <c r="D70" i="6"/>
  <c r="C70" i="6"/>
  <c r="F64" i="6"/>
  <c r="E64" i="6"/>
  <c r="D64" i="6"/>
  <c r="C64" i="6"/>
  <c r="G62" i="6"/>
  <c r="F62" i="6"/>
  <c r="E62" i="6"/>
  <c r="D62" i="6"/>
  <c r="C62" i="6"/>
  <c r="K58" i="6"/>
  <c r="J58" i="6"/>
  <c r="I58" i="6"/>
  <c r="G58" i="6"/>
  <c r="F58" i="6"/>
  <c r="A58" i="6" s="1"/>
  <c r="D58" i="6"/>
  <c r="C58" i="6"/>
  <c r="L54" i="6"/>
  <c r="K54" i="6"/>
  <c r="J54" i="6"/>
  <c r="I54" i="6"/>
  <c r="H54" i="6"/>
  <c r="G54" i="6"/>
  <c r="F54" i="6"/>
  <c r="E54" i="6"/>
  <c r="G47" i="6"/>
  <c r="F47" i="6"/>
  <c r="E47" i="6"/>
  <c r="D47" i="6"/>
  <c r="F41" i="6"/>
  <c r="E41" i="6"/>
  <c r="D41" i="6"/>
  <c r="C41" i="6"/>
  <c r="F39" i="6"/>
  <c r="E39" i="6"/>
  <c r="D39" i="6"/>
  <c r="C39" i="6"/>
  <c r="G35" i="6"/>
  <c r="F35" i="6"/>
  <c r="E35" i="6"/>
  <c r="D35" i="6"/>
  <c r="C35" i="6"/>
  <c r="L30" i="6"/>
  <c r="K30" i="6"/>
  <c r="J30" i="6"/>
  <c r="I30" i="6"/>
  <c r="E30" i="6"/>
  <c r="A64" i="6" l="1"/>
  <c r="A35" i="6"/>
  <c r="C11" i="6"/>
  <c r="D23" i="6"/>
  <c r="D15" i="6"/>
  <c r="E23" i="6" l="1"/>
  <c r="A23" i="6" s="1"/>
  <c r="D17" i="6"/>
  <c r="F17" i="6" l="1"/>
  <c r="E17" i="6"/>
  <c r="A17" i="6" s="1"/>
  <c r="E15" i="6"/>
  <c r="F15" i="6"/>
  <c r="G15" i="6"/>
  <c r="I82" i="3" l="1"/>
  <c r="G71" i="3"/>
  <c r="D75" i="3"/>
  <c r="F7" i="6"/>
  <c r="G7" i="6"/>
  <c r="I7" i="6"/>
  <c r="J7" i="6"/>
  <c r="K7" i="6"/>
  <c r="L7" i="6"/>
  <c r="E7" i="6"/>
  <c r="I64" i="3" l="1"/>
  <c r="D55" i="3"/>
  <c r="D57" i="3" l="1"/>
  <c r="I57" i="3" s="1"/>
  <c r="J57" i="3" s="1"/>
  <c r="D56" i="3"/>
  <c r="I56" i="3" s="1"/>
  <c r="J56" i="3" s="1"/>
  <c r="I55" i="3"/>
  <c r="J55" i="3" s="1"/>
  <c r="J83" i="3" l="1"/>
  <c r="D76" i="3"/>
  <c r="I76" i="3" s="1"/>
  <c r="M84" i="3"/>
  <c r="N84" i="3" s="1"/>
  <c r="E17" i="2" l="1"/>
  <c r="E16" i="2"/>
  <c r="I11" i="6"/>
  <c r="J11" i="6"/>
  <c r="K11" i="6"/>
  <c r="L11" i="6"/>
  <c r="E11" i="6"/>
  <c r="A11" i="6" s="1"/>
  <c r="F11" i="6"/>
  <c r="D11" i="6"/>
  <c r="J84" i="3" l="1"/>
  <c r="M77" i="3"/>
  <c r="N77" i="3" s="1"/>
  <c r="J77" i="3" l="1"/>
  <c r="I78" i="3"/>
  <c r="I75" i="3"/>
  <c r="B22" i="3"/>
  <c r="B34" i="35" l="1"/>
  <c r="I81" i="3"/>
  <c r="M81" i="3" s="1"/>
  <c r="N81" i="3" s="1"/>
  <c r="M79" i="3"/>
  <c r="N79" i="3" s="1"/>
  <c r="J79" i="3"/>
  <c r="M75" i="3"/>
  <c r="J75" i="3"/>
  <c r="M72" i="3"/>
  <c r="N72" i="3" s="1"/>
  <c r="J72" i="3"/>
  <c r="M82" i="3"/>
  <c r="N82" i="3" s="1"/>
  <c r="J82" i="3"/>
  <c r="M78" i="3"/>
  <c r="N78" i="3" s="1"/>
  <c r="J78" i="3"/>
  <c r="J81" i="3" l="1"/>
  <c r="N75" i="3"/>
  <c r="E7" i="4"/>
  <c r="E7" i="5"/>
  <c r="E8" i="5" s="1"/>
  <c r="E10" i="5" s="1"/>
  <c r="F6" i="5"/>
  <c r="F6" i="4"/>
  <c r="E8" i="4" l="1"/>
  <c r="E9" i="4" s="1"/>
  <c r="E10" i="4" s="1"/>
  <c r="E11" i="4" s="1"/>
  <c r="E12" i="4" s="1"/>
  <c r="E13" i="4" s="1"/>
  <c r="E9" i="5"/>
  <c r="E14" i="4" l="1"/>
  <c r="E11" i="5"/>
  <c r="E12" i="5" s="1"/>
  <c r="D7" i="5" s="1"/>
  <c r="F7" i="5" l="1"/>
  <c r="D8" i="5"/>
  <c r="D10" i="5" s="1"/>
  <c r="F10" i="5" s="1"/>
  <c r="D27" i="4" l="1"/>
  <c r="F26" i="4"/>
  <c r="F8" i="5"/>
  <c r="D9" i="5"/>
  <c r="F7" i="4"/>
  <c r="D28" i="4" l="1"/>
  <c r="F27" i="4"/>
  <c r="D11" i="5"/>
  <c r="F9" i="5"/>
  <c r="F8" i="4"/>
  <c r="D9" i="4"/>
  <c r="D29" i="4" l="1"/>
  <c r="F28" i="4"/>
  <c r="D12" i="5"/>
  <c r="D13" i="5" s="1"/>
  <c r="F13" i="5" s="1"/>
  <c r="F11" i="5"/>
  <c r="F9" i="4"/>
  <c r="D10" i="4"/>
  <c r="B40" i="3"/>
  <c r="B39" i="3"/>
  <c r="B41" i="3"/>
  <c r="B29" i="3"/>
  <c r="B28" i="3"/>
  <c r="B27" i="3"/>
  <c r="B26" i="3"/>
  <c r="B25" i="3"/>
  <c r="B21" i="3"/>
  <c r="D30" i="4" l="1"/>
  <c r="F29" i="4"/>
  <c r="D14" i="5"/>
  <c r="F12" i="5"/>
  <c r="D11" i="4"/>
  <c r="F10" i="4"/>
  <c r="I65" i="3"/>
  <c r="C73" i="3"/>
  <c r="C73" i="15" s="1"/>
  <c r="I70" i="3"/>
  <c r="D31" i="4" l="1"/>
  <c r="F30" i="4"/>
  <c r="F14" i="5"/>
  <c r="F11" i="4"/>
  <c r="D12" i="4"/>
  <c r="D13" i="4" s="1"/>
  <c r="C73" i="20"/>
  <c r="I73" i="15"/>
  <c r="I73" i="3"/>
  <c r="M64" i="3"/>
  <c r="J64" i="3"/>
  <c r="M70" i="3"/>
  <c r="N70" i="3" s="1"/>
  <c r="J70" i="3"/>
  <c r="M69" i="3"/>
  <c r="N69" i="3" s="1"/>
  <c r="J69" i="3"/>
  <c r="M71" i="3"/>
  <c r="N71" i="3" s="1"/>
  <c r="J71" i="3"/>
  <c r="M65" i="3"/>
  <c r="N65" i="3" s="1"/>
  <c r="J65" i="3"/>
  <c r="M76" i="3"/>
  <c r="N76" i="3" s="1"/>
  <c r="J76" i="3"/>
  <c r="D32" i="4" l="1"/>
  <c r="D33" i="4" s="1"/>
  <c r="F31" i="4"/>
  <c r="F13" i="4"/>
  <c r="F14" i="4"/>
  <c r="F12" i="4"/>
  <c r="J73" i="15"/>
  <c r="M73" i="15"/>
  <c r="N73" i="15" s="1"/>
  <c r="I73" i="20"/>
  <c r="C73" i="21"/>
  <c r="J73" i="3"/>
  <c r="M73" i="3"/>
  <c r="N73" i="3" s="1"/>
  <c r="N64" i="3"/>
  <c r="M55" i="3"/>
  <c r="B24" i="2"/>
  <c r="O7" i="2"/>
  <c r="P7" i="2" s="1"/>
  <c r="N6" i="2"/>
  <c r="O6" i="2" s="1"/>
  <c r="N7" i="2"/>
  <c r="N9" i="2"/>
  <c r="O9" i="2" s="1"/>
  <c r="N10" i="2"/>
  <c r="O10" i="2" s="1"/>
  <c r="N11" i="2"/>
  <c r="O11" i="2" s="1"/>
  <c r="N3" i="2"/>
  <c r="O3" i="2" s="1"/>
  <c r="N4" i="2"/>
  <c r="O4" i="2" s="1"/>
  <c r="P10" i="2" l="1"/>
  <c r="Q10" i="2" s="1"/>
  <c r="S10" i="2" s="1"/>
  <c r="P11" i="2"/>
  <c r="Q11" i="2" s="1"/>
  <c r="S11" i="2" s="1"/>
  <c r="P9" i="2"/>
  <c r="Q9" i="2" s="1"/>
  <c r="S9" i="2" s="1"/>
  <c r="P6" i="2"/>
  <c r="Q6" i="2"/>
  <c r="S6" i="2" s="1"/>
  <c r="Q7" i="2"/>
  <c r="S7" i="2" s="1"/>
  <c r="F32" i="4"/>
  <c r="F33" i="4"/>
  <c r="B37" i="35"/>
  <c r="B51" i="35"/>
  <c r="D48" i="3"/>
  <c r="B42" i="35"/>
  <c r="B50" i="35"/>
  <c r="D36" i="3"/>
  <c r="B38" i="35"/>
  <c r="P4" i="2"/>
  <c r="Q4" i="2" s="1"/>
  <c r="S4" i="2" s="1"/>
  <c r="P3" i="2"/>
  <c r="Q3" i="2" s="1"/>
  <c r="S3" i="2" s="1"/>
  <c r="N12" i="2"/>
  <c r="O12" i="2" s="1"/>
  <c r="N8" i="2"/>
  <c r="O8" i="2" s="1"/>
  <c r="M13" i="2"/>
  <c r="N5" i="2"/>
  <c r="C73" i="22"/>
  <c r="I73" i="21"/>
  <c r="J73" i="20"/>
  <c r="M73" i="20"/>
  <c r="N73" i="20" s="1"/>
  <c r="N55" i="3"/>
  <c r="D66" i="3"/>
  <c r="D67" i="3"/>
  <c r="D50" i="3" l="1"/>
  <c r="B49" i="35"/>
  <c r="B55" i="35" s="1"/>
  <c r="B26" i="35"/>
  <c r="B33" i="35"/>
  <c r="B46" i="35" s="1"/>
  <c r="B17" i="35"/>
  <c r="P12" i="2"/>
  <c r="Q12" i="2" s="1"/>
  <c r="S12" i="2" s="1"/>
  <c r="P8" i="2"/>
  <c r="Q8" i="2" s="1"/>
  <c r="S8" i="2" s="1"/>
  <c r="N13" i="2"/>
  <c r="O5" i="2"/>
  <c r="I67" i="3"/>
  <c r="J67" i="3" s="1"/>
  <c r="I67" i="23"/>
  <c r="I67" i="22"/>
  <c r="I67" i="21"/>
  <c r="I67" i="20"/>
  <c r="I67" i="15"/>
  <c r="I66" i="3"/>
  <c r="I66" i="22"/>
  <c r="I66" i="23"/>
  <c r="I66" i="21"/>
  <c r="I66" i="20"/>
  <c r="I66" i="15"/>
  <c r="M73" i="21"/>
  <c r="N73" i="21" s="1"/>
  <c r="J73" i="21"/>
  <c r="C73" i="23"/>
  <c r="I73" i="22"/>
  <c r="G1" i="2"/>
  <c r="M66" i="3" l="1"/>
  <c r="N66" i="3" s="1"/>
  <c r="B57" i="35"/>
  <c r="I73" i="23"/>
  <c r="M73" i="23" s="1"/>
  <c r="N73" i="23" s="1"/>
  <c r="B28" i="35"/>
  <c r="M67" i="3"/>
  <c r="N67" i="3" s="1"/>
  <c r="J66" i="3"/>
  <c r="O13" i="2"/>
  <c r="Q5" i="2"/>
  <c r="P5" i="2"/>
  <c r="P13" i="2" s="1"/>
  <c r="J73" i="22"/>
  <c r="M73" i="22"/>
  <c r="N73" i="22" s="1"/>
  <c r="M66" i="15"/>
  <c r="J66" i="15"/>
  <c r="M66" i="21"/>
  <c r="J66" i="21"/>
  <c r="J66" i="22"/>
  <c r="M66" i="22"/>
  <c r="J67" i="15"/>
  <c r="M67" i="15"/>
  <c r="N67" i="15" s="1"/>
  <c r="M67" i="21"/>
  <c r="N67" i="21" s="1"/>
  <c r="J67" i="21"/>
  <c r="J67" i="23"/>
  <c r="M67" i="23"/>
  <c r="N67" i="23" s="1"/>
  <c r="J66" i="20"/>
  <c r="M66" i="20"/>
  <c r="J66" i="23"/>
  <c r="M66" i="23"/>
  <c r="M67" i="20"/>
  <c r="N67" i="20" s="1"/>
  <c r="J67" i="20"/>
  <c r="J67" i="22"/>
  <c r="M67" i="22"/>
  <c r="N67" i="22" s="1"/>
  <c r="M4" i="1"/>
  <c r="N4" i="1" s="1"/>
  <c r="O4" i="1" s="1"/>
  <c r="M5" i="1"/>
  <c r="N5" i="1" s="1"/>
  <c r="O5" i="1" s="1"/>
  <c r="M6" i="1"/>
  <c r="N6" i="1" s="1"/>
  <c r="O6" i="1" s="1"/>
  <c r="M7" i="1"/>
  <c r="N7" i="1" s="1"/>
  <c r="O7" i="1" s="1"/>
  <c r="M8" i="1"/>
  <c r="N8" i="1" s="1"/>
  <c r="O8" i="1" s="1"/>
  <c r="M9" i="1"/>
  <c r="N9" i="1" s="1"/>
  <c r="O9" i="1" s="1"/>
  <c r="M10" i="1"/>
  <c r="N10" i="1" s="1"/>
  <c r="O10" i="1" s="1"/>
  <c r="M12" i="1"/>
  <c r="N12" i="1" s="1"/>
  <c r="O12" i="1" s="1"/>
  <c r="M13" i="1"/>
  <c r="N13" i="1" s="1"/>
  <c r="O13" i="1" s="1"/>
  <c r="M18" i="1"/>
  <c r="N18" i="1" s="1"/>
  <c r="O18" i="1" s="1"/>
  <c r="M19" i="1"/>
  <c r="N19" i="1" s="1"/>
  <c r="O19" i="1" s="1"/>
  <c r="M20" i="1"/>
  <c r="N20" i="1" s="1"/>
  <c r="O20" i="1" s="1"/>
  <c r="M21" i="1"/>
  <c r="N21" i="1" s="1"/>
  <c r="O21" i="1" s="1"/>
  <c r="M22" i="1"/>
  <c r="N22" i="1" s="1"/>
  <c r="O22" i="1" s="1"/>
  <c r="M23" i="1"/>
  <c r="N23" i="1" s="1"/>
  <c r="O23" i="1" s="1"/>
  <c r="M24" i="1"/>
  <c r="N24" i="1" s="1"/>
  <c r="O24" i="1" s="1"/>
  <c r="M25" i="1"/>
  <c r="N25" i="1" s="1"/>
  <c r="O25" i="1" s="1"/>
  <c r="M26" i="1"/>
  <c r="N26" i="1" s="1"/>
  <c r="O26" i="1" s="1"/>
  <c r="M27" i="1"/>
  <c r="N27" i="1" s="1"/>
  <c r="O27" i="1" s="1"/>
  <c r="M28" i="1"/>
  <c r="N28" i="1" s="1"/>
  <c r="O28" i="1" s="1"/>
  <c r="M29" i="1"/>
  <c r="N29" i="1" s="1"/>
  <c r="O29" i="1" s="1"/>
  <c r="M30" i="1"/>
  <c r="N30" i="1" s="1"/>
  <c r="O30" i="1" s="1"/>
  <c r="M31" i="1"/>
  <c r="N31" i="1" s="1"/>
  <c r="O31" i="1" s="1"/>
  <c r="M32" i="1"/>
  <c r="N32" i="1" s="1"/>
  <c r="O32" i="1" s="1"/>
  <c r="M33" i="1"/>
  <c r="N33" i="1" s="1"/>
  <c r="O33" i="1" s="1"/>
  <c r="M34" i="1"/>
  <c r="N34" i="1" s="1"/>
  <c r="O34" i="1" s="1"/>
  <c r="M35" i="1"/>
  <c r="N35" i="1" s="1"/>
  <c r="O35" i="1" s="1"/>
  <c r="M36" i="1"/>
  <c r="N36" i="1" s="1"/>
  <c r="O36" i="1" s="1"/>
  <c r="M37" i="1"/>
  <c r="N37" i="1" s="1"/>
  <c r="O37" i="1" s="1"/>
  <c r="M39" i="1"/>
  <c r="N39" i="1" s="1"/>
  <c r="O39" i="1" s="1"/>
  <c r="M42" i="1"/>
  <c r="N42" i="1" s="1"/>
  <c r="O42" i="1" s="1"/>
  <c r="M3" i="1"/>
  <c r="N3" i="1" s="1"/>
  <c r="O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2" i="1"/>
  <c r="J12" i="1" s="1"/>
  <c r="I13" i="1"/>
  <c r="J13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9" i="1"/>
  <c r="J39" i="1" s="1"/>
  <c r="I42" i="1"/>
  <c r="J42" i="1" s="1"/>
  <c r="I3" i="1"/>
  <c r="J73" i="23" l="1"/>
  <c r="S5" i="2"/>
  <c r="S13" i="2" s="1"/>
  <c r="Q13" i="2"/>
  <c r="N66" i="23"/>
  <c r="N66" i="22"/>
  <c r="N66" i="21"/>
  <c r="N66" i="20"/>
  <c r="N66" i="15"/>
  <c r="K36" i="1"/>
  <c r="L36" i="1" s="1"/>
  <c r="K32" i="1"/>
  <c r="L32" i="1" s="1"/>
  <c r="K28" i="1"/>
  <c r="L28" i="1" s="1"/>
  <c r="K24" i="1"/>
  <c r="L24" i="1" s="1"/>
  <c r="K21" i="1"/>
  <c r="L21" i="1" s="1"/>
  <c r="K13" i="1"/>
  <c r="L13" i="1" s="1"/>
  <c r="K9" i="1"/>
  <c r="L9" i="1" s="1"/>
  <c r="K6" i="1"/>
  <c r="L6" i="1" s="1"/>
  <c r="K39" i="1"/>
  <c r="L39" i="1" s="1"/>
  <c r="K35" i="1"/>
  <c r="L35" i="1" s="1"/>
  <c r="K31" i="1"/>
  <c r="L31" i="1" s="1"/>
  <c r="K27" i="1"/>
  <c r="L27" i="1" s="1"/>
  <c r="K23" i="1"/>
  <c r="L23" i="1" s="1"/>
  <c r="K20" i="1"/>
  <c r="L20" i="1" s="1"/>
  <c r="K12" i="1"/>
  <c r="L12" i="1" s="1"/>
  <c r="K8" i="1"/>
  <c r="L8" i="1" s="1"/>
  <c r="K5" i="1"/>
  <c r="L5" i="1" s="1"/>
  <c r="K34" i="1"/>
  <c r="L34" i="1" s="1"/>
  <c r="K30" i="1"/>
  <c r="L30" i="1" s="1"/>
  <c r="K26" i="1"/>
  <c r="L26" i="1" s="1"/>
  <c r="K22" i="1"/>
  <c r="L22" i="1" s="1"/>
  <c r="K19" i="1"/>
  <c r="L19" i="1" s="1"/>
  <c r="K4" i="1"/>
  <c r="L4" i="1" s="1"/>
  <c r="K42" i="1"/>
  <c r="L42" i="1" s="1"/>
  <c r="K37" i="1"/>
  <c r="L37" i="1" s="1"/>
  <c r="K33" i="1"/>
  <c r="L33" i="1" s="1"/>
  <c r="K29" i="1"/>
  <c r="L29" i="1" s="1"/>
  <c r="K25" i="1"/>
  <c r="L25" i="1" s="1"/>
  <c r="K18" i="1"/>
  <c r="L18" i="1" s="1"/>
  <c r="K10" i="1"/>
  <c r="L10" i="1" s="1"/>
  <c r="K7" i="1"/>
  <c r="L7" i="1" s="1"/>
  <c r="J3" i="1"/>
  <c r="B18" i="2"/>
  <c r="F18" i="2" s="1"/>
  <c r="F22" i="2"/>
  <c r="F24" i="2"/>
  <c r="B19" i="2"/>
  <c r="B25" i="2"/>
  <c r="F25" i="2" s="1"/>
  <c r="B21" i="2"/>
  <c r="B17" i="2" l="1"/>
  <c r="F17" i="2" s="1"/>
  <c r="K3" i="1"/>
  <c r="B20" i="2"/>
  <c r="B26" i="2" s="1"/>
  <c r="F19" i="2"/>
  <c r="B23" i="2"/>
  <c r="E23" i="2"/>
  <c r="E20" i="2"/>
  <c r="B13" i="2"/>
  <c r="B16" i="2" l="1"/>
  <c r="F16" i="2" s="1"/>
  <c r="F20" i="2"/>
  <c r="L3" i="1"/>
  <c r="F10" i="2"/>
  <c r="D10" i="2" s="1"/>
  <c r="F8" i="2"/>
  <c r="D8" i="2" s="1"/>
  <c r="F12" i="2"/>
  <c r="D12" i="2" s="1"/>
  <c r="F23" i="2"/>
  <c r="E26" i="2"/>
  <c r="A11" i="1"/>
  <c r="G40" i="1"/>
  <c r="F40" i="1"/>
  <c r="E40" i="1"/>
  <c r="D40" i="1"/>
  <c r="C40" i="1"/>
  <c r="B40" i="1"/>
  <c r="M40" i="1" s="1"/>
  <c r="N40" i="1" s="1"/>
  <c r="O40" i="1" s="1"/>
  <c r="A40" i="1"/>
  <c r="G38" i="1"/>
  <c r="F38" i="1"/>
  <c r="E38" i="1"/>
  <c r="D38" i="1"/>
  <c r="C38" i="1"/>
  <c r="B38" i="1"/>
  <c r="M38" i="1" s="1"/>
  <c r="N38" i="1" s="1"/>
  <c r="O38" i="1" s="1"/>
  <c r="A38" i="1"/>
  <c r="I17" i="1"/>
  <c r="J17" i="1" s="1"/>
  <c r="K17" i="1" s="1"/>
  <c r="L17" i="1" s="1"/>
  <c r="G17" i="1"/>
  <c r="F17" i="1"/>
  <c r="E17" i="1"/>
  <c r="D17" i="1"/>
  <c r="C17" i="1"/>
  <c r="B17" i="1"/>
  <c r="M17" i="1" s="1"/>
  <c r="N17" i="1" s="1"/>
  <c r="O17" i="1" s="1"/>
  <c r="A17" i="1"/>
  <c r="G16" i="1"/>
  <c r="F16" i="1"/>
  <c r="E16" i="1"/>
  <c r="D16" i="1"/>
  <c r="C16" i="1"/>
  <c r="B16" i="1"/>
  <c r="M16" i="1" s="1"/>
  <c r="N16" i="1" s="1"/>
  <c r="O16" i="1" s="1"/>
  <c r="A16" i="1"/>
  <c r="I15" i="1"/>
  <c r="J15" i="1" s="1"/>
  <c r="G15" i="1"/>
  <c r="F15" i="1"/>
  <c r="E15" i="1"/>
  <c r="D15" i="1"/>
  <c r="C15" i="1"/>
  <c r="B15" i="1"/>
  <c r="M15" i="1" s="1"/>
  <c r="N15" i="1" s="1"/>
  <c r="O15" i="1" s="1"/>
  <c r="A15" i="1"/>
  <c r="G14" i="1"/>
  <c r="F14" i="1"/>
  <c r="E14" i="1"/>
  <c r="D14" i="1"/>
  <c r="C14" i="1"/>
  <c r="B14" i="1"/>
  <c r="M14" i="1" s="1"/>
  <c r="N14" i="1" s="1"/>
  <c r="O14" i="1" s="1"/>
  <c r="A14" i="1"/>
  <c r="I11" i="1"/>
  <c r="G11" i="1"/>
  <c r="F11" i="1"/>
  <c r="E11" i="1"/>
  <c r="D11" i="1"/>
  <c r="C11" i="1"/>
  <c r="B11" i="1"/>
  <c r="M11" i="1" s="1"/>
  <c r="N11" i="1" s="1"/>
  <c r="O11" i="1" s="1"/>
  <c r="G12" i="2" l="1"/>
  <c r="H12" i="2" s="1"/>
  <c r="G10" i="2"/>
  <c r="H10" i="2" s="1"/>
  <c r="G8" i="2"/>
  <c r="H8" i="2" s="1"/>
  <c r="F26" i="2"/>
  <c r="J11" i="1"/>
  <c r="I14" i="1"/>
  <c r="J14" i="1" s="1"/>
  <c r="K14" i="1" s="1"/>
  <c r="L14" i="1" s="1"/>
  <c r="K15" i="1"/>
  <c r="L15" i="1" s="1"/>
  <c r="I16" i="1"/>
  <c r="J16" i="1" s="1"/>
  <c r="K16" i="1" s="1"/>
  <c r="L16" i="1" s="1"/>
  <c r="I38" i="1"/>
  <c r="J38" i="1" s="1"/>
  <c r="I40" i="1"/>
  <c r="J40" i="1" s="1"/>
  <c r="K40" i="1" s="1"/>
  <c r="L40" i="1" s="1"/>
  <c r="F25" i="3" l="1"/>
  <c r="G25" i="3" s="1"/>
  <c r="F40" i="3"/>
  <c r="G40" i="3" s="1"/>
  <c r="F21" i="3"/>
  <c r="G21" i="3" s="1"/>
  <c r="F9" i="2"/>
  <c r="D9" i="2" s="1"/>
  <c r="F11" i="2"/>
  <c r="D11" i="2" s="1"/>
  <c r="F7" i="2"/>
  <c r="D7" i="2" s="1"/>
  <c r="K38" i="1"/>
  <c r="L38" i="1" s="1"/>
  <c r="I43" i="1"/>
  <c r="F6" i="2"/>
  <c r="D6" i="2" s="1"/>
  <c r="K11" i="1"/>
  <c r="J43" i="1"/>
  <c r="I8" i="2"/>
  <c r="I4" i="2"/>
  <c r="I10" i="2"/>
  <c r="I12" i="2"/>
  <c r="F5" i="2"/>
  <c r="D5" i="2" s="1"/>
  <c r="E13" i="2"/>
  <c r="F13" i="2" s="1"/>
  <c r="G6" i="2" l="1"/>
  <c r="H6" i="2" s="1"/>
  <c r="H40" i="3"/>
  <c r="I40" i="3" s="1"/>
  <c r="G7" i="2"/>
  <c r="H7" i="2" s="1"/>
  <c r="I7" i="2" s="1"/>
  <c r="F40" i="15"/>
  <c r="G40" i="15" s="1"/>
  <c r="H40" i="15" s="1"/>
  <c r="I40" i="15" s="1"/>
  <c r="G11" i="2"/>
  <c r="H11" i="2" s="1"/>
  <c r="I11" i="2" s="1"/>
  <c r="H21" i="3"/>
  <c r="C5" i="35" s="1"/>
  <c r="C33" i="35" s="1"/>
  <c r="G5" i="2"/>
  <c r="H5" i="2" s="1"/>
  <c r="I5" i="2" s="1"/>
  <c r="G9" i="2"/>
  <c r="H9" i="2" s="1"/>
  <c r="I9" i="2" s="1"/>
  <c r="H21" i="15"/>
  <c r="H25" i="3"/>
  <c r="C9" i="35" s="1"/>
  <c r="C37" i="35" s="1"/>
  <c r="F25" i="15"/>
  <c r="G25" i="15" s="1"/>
  <c r="L11" i="1"/>
  <c r="L43" i="1" s="1"/>
  <c r="K43" i="1"/>
  <c r="J10" i="2"/>
  <c r="J4" i="2"/>
  <c r="J12" i="2"/>
  <c r="J8" i="2"/>
  <c r="J21" i="2" s="1"/>
  <c r="I21" i="3" l="1"/>
  <c r="I25" i="3"/>
  <c r="J25" i="3" s="1"/>
  <c r="D5" i="35"/>
  <c r="D33" i="35" s="1"/>
  <c r="F25" i="20"/>
  <c r="G25" i="20" s="1"/>
  <c r="M40" i="15"/>
  <c r="N40" i="15" s="1"/>
  <c r="J40" i="15"/>
  <c r="F29" i="3"/>
  <c r="G29" i="3" s="1"/>
  <c r="F40" i="20"/>
  <c r="G40" i="20" s="1"/>
  <c r="F41" i="3"/>
  <c r="G41" i="3" s="1"/>
  <c r="E44" i="3"/>
  <c r="F44" i="3" s="1"/>
  <c r="E45" i="3"/>
  <c r="E46" i="3"/>
  <c r="E43" i="3"/>
  <c r="F39" i="3"/>
  <c r="G39" i="3" s="1"/>
  <c r="H25" i="15"/>
  <c r="D9" i="35" s="1"/>
  <c r="D37" i="35" s="1"/>
  <c r="F21" i="20"/>
  <c r="G21" i="20" s="1"/>
  <c r="F22" i="3"/>
  <c r="G22" i="3" s="1"/>
  <c r="J21" i="3"/>
  <c r="M21" i="3"/>
  <c r="N21" i="3" s="1"/>
  <c r="F26" i="3"/>
  <c r="G26" i="3" s="1"/>
  <c r="I6" i="2"/>
  <c r="M28" i="3"/>
  <c r="N28" i="3" s="1"/>
  <c r="J28" i="3"/>
  <c r="M40" i="3"/>
  <c r="N40" i="3" s="1"/>
  <c r="J40" i="3"/>
  <c r="J11" i="2"/>
  <c r="J22" i="2" s="1"/>
  <c r="J9" i="2"/>
  <c r="J7" i="2"/>
  <c r="J18" i="2" s="1"/>
  <c r="J5" i="2"/>
  <c r="E43" i="15" l="1"/>
  <c r="G44" i="3"/>
  <c r="I21" i="15"/>
  <c r="H29" i="3"/>
  <c r="C13" i="35" s="1"/>
  <c r="C42" i="35" s="1"/>
  <c r="H41" i="3"/>
  <c r="I41" i="3" s="1"/>
  <c r="H26" i="3"/>
  <c r="C10" i="35" s="1"/>
  <c r="H21" i="20"/>
  <c r="E5" i="35" s="1"/>
  <c r="E33" i="35" s="1"/>
  <c r="F46" i="3"/>
  <c r="G46" i="3" s="1"/>
  <c r="H46" i="3" s="1"/>
  <c r="I46" i="3" s="1"/>
  <c r="F29" i="15"/>
  <c r="G29" i="15" s="1"/>
  <c r="F45" i="3"/>
  <c r="G45" i="3" s="1"/>
  <c r="H45" i="3" s="1"/>
  <c r="I45" i="3" s="1"/>
  <c r="H25" i="20"/>
  <c r="E9" i="35" s="1"/>
  <c r="E37" i="35" s="1"/>
  <c r="H22" i="3"/>
  <c r="C6" i="35" s="1"/>
  <c r="C34" i="35" s="1"/>
  <c r="F21" i="21"/>
  <c r="G21" i="21" s="1"/>
  <c r="F41" i="15"/>
  <c r="G41" i="15" s="1"/>
  <c r="H41" i="15" s="1"/>
  <c r="I41" i="15" s="1"/>
  <c r="I25" i="15"/>
  <c r="E44" i="15"/>
  <c r="F44" i="15" s="1"/>
  <c r="E45" i="15"/>
  <c r="F45" i="15" s="1"/>
  <c r="G45" i="15" s="1"/>
  <c r="H45" i="15" s="1"/>
  <c r="I45" i="15" s="1"/>
  <c r="E46" i="15"/>
  <c r="F46" i="15" s="1"/>
  <c r="G46" i="15" s="1"/>
  <c r="H46" i="15" s="1"/>
  <c r="I46" i="15" s="1"/>
  <c r="F39" i="15"/>
  <c r="G39" i="15" s="1"/>
  <c r="H39" i="15" s="1"/>
  <c r="H40" i="20"/>
  <c r="I40" i="20" s="1"/>
  <c r="F22" i="15"/>
  <c r="G22" i="15" s="1"/>
  <c r="F25" i="21"/>
  <c r="G25" i="21" s="1"/>
  <c r="F26" i="15"/>
  <c r="G26" i="15" s="1"/>
  <c r="H39" i="3"/>
  <c r="I39" i="3" s="1"/>
  <c r="J39" i="3" s="1"/>
  <c r="F40" i="21"/>
  <c r="G40" i="21" s="1"/>
  <c r="H40" i="21" s="1"/>
  <c r="I40" i="21" s="1"/>
  <c r="M21" i="15"/>
  <c r="N21" i="15" s="1"/>
  <c r="E48" i="3"/>
  <c r="F43" i="3"/>
  <c r="C38" i="35"/>
  <c r="H44" i="3"/>
  <c r="I44" i="3" s="1"/>
  <c r="J6" i="2"/>
  <c r="M25" i="3"/>
  <c r="J19" i="2"/>
  <c r="J20" i="2"/>
  <c r="J25" i="2"/>
  <c r="I26" i="3" l="1"/>
  <c r="F48" i="3"/>
  <c r="I39" i="15"/>
  <c r="J45" i="3"/>
  <c r="M45" i="3"/>
  <c r="N45" i="3" s="1"/>
  <c r="I29" i="3"/>
  <c r="M29" i="3" s="1"/>
  <c r="N29" i="3" s="1"/>
  <c r="G44" i="15"/>
  <c r="H44" i="15" s="1"/>
  <c r="I44" i="15" s="1"/>
  <c r="H22" i="15"/>
  <c r="D6" i="35" s="1"/>
  <c r="D34" i="35" s="1"/>
  <c r="H29" i="15"/>
  <c r="D13" i="35" s="1"/>
  <c r="D42" i="35" s="1"/>
  <c r="M41" i="15"/>
  <c r="N41" i="15" s="1"/>
  <c r="J41" i="15"/>
  <c r="G43" i="3"/>
  <c r="H43" i="3" s="1"/>
  <c r="I43" i="3" s="1"/>
  <c r="J43" i="3" s="1"/>
  <c r="J46" i="3"/>
  <c r="M46" i="3"/>
  <c r="N46" i="3" s="1"/>
  <c r="H26" i="15"/>
  <c r="D10" i="35" s="1"/>
  <c r="D38" i="35" s="1"/>
  <c r="F40" i="22"/>
  <c r="G40" i="22" s="1"/>
  <c r="H40" i="22" s="1"/>
  <c r="I40" i="22" s="1"/>
  <c r="F26" i="20"/>
  <c r="G26" i="20" s="1"/>
  <c r="H26" i="20" s="1"/>
  <c r="E10" i="35" s="1"/>
  <c r="E38" i="35" s="1"/>
  <c r="M40" i="20"/>
  <c r="N40" i="20" s="1"/>
  <c r="J40" i="20"/>
  <c r="M40" i="21"/>
  <c r="N40" i="21" s="1"/>
  <c r="J40" i="21"/>
  <c r="E46" i="20"/>
  <c r="F46" i="20" s="1"/>
  <c r="G46" i="20" s="1"/>
  <c r="H46" i="20" s="1"/>
  <c r="I46" i="20" s="1"/>
  <c r="E45" i="20"/>
  <c r="F45" i="20" s="1"/>
  <c r="G45" i="20" s="1"/>
  <c r="H45" i="20" s="1"/>
  <c r="I45" i="20" s="1"/>
  <c r="E44" i="20"/>
  <c r="F44" i="20" s="1"/>
  <c r="G44" i="20" s="1"/>
  <c r="H44" i="20" s="1"/>
  <c r="I44" i="20" s="1"/>
  <c r="F39" i="20"/>
  <c r="G39" i="20" s="1"/>
  <c r="H39" i="20" s="1"/>
  <c r="H21" i="21"/>
  <c r="F5" i="35" s="1"/>
  <c r="F33" i="35" s="1"/>
  <c r="H25" i="21"/>
  <c r="F9" i="35" s="1"/>
  <c r="F37" i="35" s="1"/>
  <c r="M25" i="15"/>
  <c r="N25" i="15" s="1"/>
  <c r="J25" i="15"/>
  <c r="I21" i="20"/>
  <c r="F25" i="22"/>
  <c r="G25" i="22" s="1"/>
  <c r="E48" i="15"/>
  <c r="F43" i="15"/>
  <c r="F21" i="22"/>
  <c r="G21" i="22" s="1"/>
  <c r="H21" i="22" s="1"/>
  <c r="F29" i="20"/>
  <c r="G29" i="20" s="1"/>
  <c r="F22" i="20"/>
  <c r="G22" i="20" s="1"/>
  <c r="H22" i="20" s="1"/>
  <c r="E6" i="35" s="1"/>
  <c r="F41" i="20"/>
  <c r="G41" i="20" s="1"/>
  <c r="I22" i="3"/>
  <c r="I25" i="20"/>
  <c r="H48" i="3"/>
  <c r="J45" i="15"/>
  <c r="M45" i="15"/>
  <c r="N45" i="15" s="1"/>
  <c r="M46" i="15"/>
  <c r="N46" i="15" s="1"/>
  <c r="J46" i="15"/>
  <c r="J44" i="3"/>
  <c r="M44" i="3"/>
  <c r="N44" i="3" s="1"/>
  <c r="J39" i="15"/>
  <c r="M39" i="15"/>
  <c r="N25" i="3"/>
  <c r="M39" i="3"/>
  <c r="M26" i="3"/>
  <c r="N26" i="3" s="1"/>
  <c r="J26" i="3"/>
  <c r="J17" i="2"/>
  <c r="I39" i="20" l="1"/>
  <c r="M39" i="20" s="1"/>
  <c r="J29" i="3"/>
  <c r="I48" i="3"/>
  <c r="J48" i="3" s="1"/>
  <c r="G48" i="3"/>
  <c r="M43" i="3"/>
  <c r="N43" i="3" s="1"/>
  <c r="I22" i="15"/>
  <c r="I26" i="15"/>
  <c r="J26" i="15" s="1"/>
  <c r="I29" i="15"/>
  <c r="H25" i="22"/>
  <c r="G9" i="35" s="1"/>
  <c r="G37" i="35" s="1"/>
  <c r="H41" i="20"/>
  <c r="I41" i="20" s="1"/>
  <c r="H29" i="20"/>
  <c r="E13" i="35" s="1"/>
  <c r="E42" i="35" s="1"/>
  <c r="M25" i="20"/>
  <c r="N25" i="20" s="1"/>
  <c r="J25" i="20"/>
  <c r="F25" i="23"/>
  <c r="G25" i="23" s="1"/>
  <c r="J40" i="22"/>
  <c r="M40" i="22"/>
  <c r="N40" i="22" s="1"/>
  <c r="F21" i="23"/>
  <c r="G21" i="23" s="1"/>
  <c r="J22" i="3"/>
  <c r="M22" i="3"/>
  <c r="N22" i="3" s="1"/>
  <c r="F22" i="21"/>
  <c r="G22" i="21" s="1"/>
  <c r="G43" i="15"/>
  <c r="F48" i="15"/>
  <c r="I25" i="21"/>
  <c r="F40" i="23"/>
  <c r="G40" i="23" s="1"/>
  <c r="H40" i="23" s="1"/>
  <c r="I40" i="23" s="1"/>
  <c r="I21" i="21"/>
  <c r="E44" i="21"/>
  <c r="E46" i="21"/>
  <c r="F39" i="21"/>
  <c r="G39" i="21" s="1"/>
  <c r="H39" i="21" s="1"/>
  <c r="I22" i="20"/>
  <c r="J22" i="20" s="1"/>
  <c r="F26" i="21"/>
  <c r="G26" i="21" s="1"/>
  <c r="H26" i="21" s="1"/>
  <c r="F10" i="35" s="1"/>
  <c r="F38" i="35" s="1"/>
  <c r="I21" i="22"/>
  <c r="G5" i="35"/>
  <c r="G33" i="35" s="1"/>
  <c r="M21" i="20"/>
  <c r="N21" i="20" s="1"/>
  <c r="J21" i="20"/>
  <c r="F41" i="21"/>
  <c r="G41" i="21" s="1"/>
  <c r="H41" i="21" s="1"/>
  <c r="I41" i="21" s="1"/>
  <c r="J41" i="21" s="1"/>
  <c r="F29" i="21"/>
  <c r="G29" i="21" s="1"/>
  <c r="H29" i="21" s="1"/>
  <c r="F13" i="35" s="1"/>
  <c r="F42" i="35" s="1"/>
  <c r="F43" i="20"/>
  <c r="F48" i="20" s="1"/>
  <c r="E48" i="20"/>
  <c r="E34" i="35"/>
  <c r="M44" i="20"/>
  <c r="N44" i="20" s="1"/>
  <c r="J44" i="20"/>
  <c r="J45" i="20"/>
  <c r="M45" i="20"/>
  <c r="N45" i="20" s="1"/>
  <c r="J46" i="20"/>
  <c r="M46" i="20"/>
  <c r="N46" i="20" s="1"/>
  <c r="J44" i="15"/>
  <c r="M44" i="15"/>
  <c r="N44" i="15" s="1"/>
  <c r="I26" i="20"/>
  <c r="J39" i="20"/>
  <c r="N39" i="15"/>
  <c r="M41" i="3"/>
  <c r="N41" i="3" s="1"/>
  <c r="J41" i="3"/>
  <c r="N39" i="3"/>
  <c r="J22" i="15" l="1"/>
  <c r="M22" i="15"/>
  <c r="N22" i="15" s="1"/>
  <c r="I39" i="21"/>
  <c r="M26" i="15"/>
  <c r="N26" i="15" s="1"/>
  <c r="H22" i="21"/>
  <c r="F6" i="35" s="1"/>
  <c r="F34" i="35" s="1"/>
  <c r="J29" i="15"/>
  <c r="M29" i="15"/>
  <c r="N29" i="15" s="1"/>
  <c r="M41" i="21"/>
  <c r="N41" i="21" s="1"/>
  <c r="I29" i="20"/>
  <c r="I25" i="22"/>
  <c r="M22" i="20"/>
  <c r="N22" i="20" s="1"/>
  <c r="E44" i="22"/>
  <c r="F44" i="22" s="1"/>
  <c r="E46" i="22"/>
  <c r="E45" i="22"/>
  <c r="F39" i="22"/>
  <c r="G39" i="22" s="1"/>
  <c r="E43" i="22"/>
  <c r="J21" i="22"/>
  <c r="M21" i="22"/>
  <c r="N21" i="22" s="1"/>
  <c r="J21" i="21"/>
  <c r="M21" i="21"/>
  <c r="N21" i="21" s="1"/>
  <c r="H21" i="23"/>
  <c r="H5" i="35" s="1"/>
  <c r="H33" i="35" s="1"/>
  <c r="H25" i="23"/>
  <c r="H9" i="35" s="1"/>
  <c r="H37" i="35" s="1"/>
  <c r="I29" i="21"/>
  <c r="M29" i="21" s="1"/>
  <c r="N29" i="21" s="1"/>
  <c r="G43" i="20"/>
  <c r="E48" i="21"/>
  <c r="F43" i="21"/>
  <c r="G43" i="21" s="1"/>
  <c r="M25" i="21"/>
  <c r="N25" i="21" s="1"/>
  <c r="J25" i="21"/>
  <c r="F22" i="22"/>
  <c r="G22" i="22" s="1"/>
  <c r="H22" i="22" s="1"/>
  <c r="G6" i="35" s="1"/>
  <c r="F41" i="22"/>
  <c r="G41" i="22" s="1"/>
  <c r="H41" i="22" s="1"/>
  <c r="I41" i="22" s="1"/>
  <c r="F46" i="21"/>
  <c r="G46" i="21" s="1"/>
  <c r="H46" i="21" s="1"/>
  <c r="I46" i="21" s="1"/>
  <c r="I9" i="35"/>
  <c r="J41" i="20"/>
  <c r="M41" i="20"/>
  <c r="N41" i="20" s="1"/>
  <c r="J40" i="23"/>
  <c r="M40" i="23"/>
  <c r="N40" i="23" s="1"/>
  <c r="F26" i="22"/>
  <c r="G26" i="22" s="1"/>
  <c r="F45" i="21"/>
  <c r="G45" i="21" s="1"/>
  <c r="H45" i="21" s="1"/>
  <c r="I45" i="21" s="1"/>
  <c r="J25" i="22"/>
  <c r="M25" i="22"/>
  <c r="N25" i="22" s="1"/>
  <c r="F29" i="22"/>
  <c r="G29" i="22" s="1"/>
  <c r="F44" i="21"/>
  <c r="G44" i="21" s="1"/>
  <c r="H44" i="21" s="1"/>
  <c r="H43" i="15"/>
  <c r="G48" i="15"/>
  <c r="M48" i="3"/>
  <c r="N48" i="3" s="1"/>
  <c r="M39" i="21"/>
  <c r="J39" i="21"/>
  <c r="J26" i="20"/>
  <c r="M26" i="20"/>
  <c r="I26" i="21"/>
  <c r="N39" i="20"/>
  <c r="I21" i="23" l="1"/>
  <c r="M21" i="23" s="1"/>
  <c r="N21" i="23" s="1"/>
  <c r="I22" i="21"/>
  <c r="M41" i="22"/>
  <c r="N41" i="22" s="1"/>
  <c r="J41" i="22"/>
  <c r="G44" i="22"/>
  <c r="H44" i="22" s="1"/>
  <c r="M29" i="20"/>
  <c r="N29" i="20" s="1"/>
  <c r="J29" i="20"/>
  <c r="H29" i="22"/>
  <c r="G13" i="35" s="1"/>
  <c r="G42" i="35" s="1"/>
  <c r="H26" i="22"/>
  <c r="G10" i="35" s="1"/>
  <c r="G38" i="35" s="1"/>
  <c r="F46" i="22"/>
  <c r="G46" i="22" s="1"/>
  <c r="H46" i="22" s="1"/>
  <c r="I46" i="22" s="1"/>
  <c r="F26" i="23"/>
  <c r="G26" i="23" s="1"/>
  <c r="I43" i="15"/>
  <c r="H48" i="15"/>
  <c r="F29" i="23"/>
  <c r="G29" i="23" s="1"/>
  <c r="E48" i="22"/>
  <c r="F22" i="23"/>
  <c r="G22" i="23" s="1"/>
  <c r="H22" i="23" s="1"/>
  <c r="E43" i="23"/>
  <c r="E45" i="23"/>
  <c r="E46" i="23"/>
  <c r="E44" i="23"/>
  <c r="F39" i="23"/>
  <c r="H43" i="20"/>
  <c r="H48" i="20" s="1"/>
  <c r="G48" i="20"/>
  <c r="J45" i="21"/>
  <c r="M45" i="21"/>
  <c r="N45" i="21" s="1"/>
  <c r="H39" i="22"/>
  <c r="I39" i="22" s="1"/>
  <c r="F41" i="23"/>
  <c r="G41" i="23" s="1"/>
  <c r="H43" i="21"/>
  <c r="G48" i="21"/>
  <c r="I5" i="35"/>
  <c r="I33" i="35" s="1"/>
  <c r="F43" i="22"/>
  <c r="G43" i="22" s="1"/>
  <c r="H43" i="22" s="1"/>
  <c r="I43" i="22" s="1"/>
  <c r="J46" i="21"/>
  <c r="M46" i="21"/>
  <c r="N46" i="21" s="1"/>
  <c r="I44" i="21"/>
  <c r="M44" i="21" s="1"/>
  <c r="N44" i="21" s="1"/>
  <c r="I22" i="22"/>
  <c r="J22" i="22" s="1"/>
  <c r="F48" i="21"/>
  <c r="J21" i="23"/>
  <c r="J29" i="21"/>
  <c r="I25" i="23"/>
  <c r="F45" i="22"/>
  <c r="G45" i="22" s="1"/>
  <c r="H45" i="22" s="1"/>
  <c r="I45" i="22" s="1"/>
  <c r="G34" i="35"/>
  <c r="M26" i="21"/>
  <c r="J26" i="21"/>
  <c r="N26" i="20"/>
  <c r="N39" i="21"/>
  <c r="J44" i="21" l="1"/>
  <c r="J22" i="21"/>
  <c r="M22" i="21"/>
  <c r="N22" i="21" s="1"/>
  <c r="M22" i="22"/>
  <c r="N22" i="22" s="1"/>
  <c r="I29" i="22"/>
  <c r="F48" i="22"/>
  <c r="H26" i="23"/>
  <c r="H10" i="35" s="1"/>
  <c r="H38" i="35" s="1"/>
  <c r="I22" i="23"/>
  <c r="H6" i="35"/>
  <c r="H34" i="35" s="1"/>
  <c r="H29" i="23"/>
  <c r="H13" i="35" s="1"/>
  <c r="H42" i="35" s="1"/>
  <c r="M39" i="22"/>
  <c r="N39" i="22" s="1"/>
  <c r="J39" i="22"/>
  <c r="F46" i="23"/>
  <c r="G46" i="23" s="1"/>
  <c r="H46" i="23" s="1"/>
  <c r="I46" i="23" s="1"/>
  <c r="I6" i="35"/>
  <c r="I34" i="35" s="1"/>
  <c r="I10" i="35"/>
  <c r="H41" i="23"/>
  <c r="I41" i="23" s="1"/>
  <c r="F44" i="23"/>
  <c r="G44" i="23" s="1"/>
  <c r="M43" i="15"/>
  <c r="J43" i="15"/>
  <c r="I48" i="15"/>
  <c r="J48" i="15" s="1"/>
  <c r="F45" i="23"/>
  <c r="J46" i="22"/>
  <c r="M46" i="22"/>
  <c r="N46" i="22" s="1"/>
  <c r="I37" i="35"/>
  <c r="M25" i="23"/>
  <c r="N25" i="23" s="1"/>
  <c r="J25" i="23"/>
  <c r="F43" i="23"/>
  <c r="G43" i="23" s="1"/>
  <c r="H43" i="23" s="1"/>
  <c r="I43" i="23" s="1"/>
  <c r="E48" i="23"/>
  <c r="J43" i="22"/>
  <c r="M43" i="22"/>
  <c r="N43" i="22" s="1"/>
  <c r="I43" i="20"/>
  <c r="I26" i="22"/>
  <c r="G48" i="22"/>
  <c r="J45" i="22"/>
  <c r="M45" i="22"/>
  <c r="N45" i="22" s="1"/>
  <c r="H48" i="22"/>
  <c r="I43" i="21"/>
  <c r="H48" i="21"/>
  <c r="G39" i="23"/>
  <c r="I44" i="22"/>
  <c r="M44" i="22" s="1"/>
  <c r="N26" i="21"/>
  <c r="H17" i="6"/>
  <c r="H11" i="6"/>
  <c r="H58" i="6"/>
  <c r="H64" i="6"/>
  <c r="F48" i="23" l="1"/>
  <c r="G45" i="23"/>
  <c r="H45" i="23" s="1"/>
  <c r="I45" i="23" s="1"/>
  <c r="J45" i="23" s="1"/>
  <c r="M48" i="22"/>
  <c r="N48" i="22" s="1"/>
  <c r="I26" i="23"/>
  <c r="M26" i="23" s="1"/>
  <c r="N26" i="23" s="1"/>
  <c r="I29" i="23"/>
  <c r="M29" i="23" s="1"/>
  <c r="N29" i="23" s="1"/>
  <c r="M29" i="22"/>
  <c r="N29" i="22" s="1"/>
  <c r="J29" i="22"/>
  <c r="M41" i="23"/>
  <c r="N41" i="23" s="1"/>
  <c r="J41" i="23"/>
  <c r="M43" i="23"/>
  <c r="N43" i="23" s="1"/>
  <c r="J43" i="23"/>
  <c r="I13" i="35"/>
  <c r="I42" i="35" s="1"/>
  <c r="M46" i="23"/>
  <c r="N46" i="23" s="1"/>
  <c r="J46" i="23"/>
  <c r="M22" i="23"/>
  <c r="N22" i="23" s="1"/>
  <c r="J22" i="23"/>
  <c r="M43" i="21"/>
  <c r="J43" i="21"/>
  <c r="I48" i="21"/>
  <c r="J48" i="21" s="1"/>
  <c r="M26" i="22"/>
  <c r="N26" i="22" s="1"/>
  <c r="J26" i="22"/>
  <c r="N43" i="15"/>
  <c r="M48" i="15"/>
  <c r="N48" i="15" s="1"/>
  <c r="H44" i="23"/>
  <c r="I44" i="23" s="1"/>
  <c r="I38" i="35"/>
  <c r="H39" i="23"/>
  <c r="I39" i="23" s="1"/>
  <c r="M39" i="23" s="1"/>
  <c r="M43" i="20"/>
  <c r="I48" i="20"/>
  <c r="J48" i="20" s="1"/>
  <c r="J43" i="20"/>
  <c r="I48" i="22"/>
  <c r="J48" i="22" s="1"/>
  <c r="N44" i="22"/>
  <c r="J44" i="22"/>
  <c r="G48" i="23" l="1"/>
  <c r="J26" i="23"/>
  <c r="J29" i="23"/>
  <c r="M45" i="23"/>
  <c r="N45" i="23" s="1"/>
  <c r="H48" i="23"/>
  <c r="I48" i="23"/>
  <c r="J48" i="23" s="1"/>
  <c r="M44" i="23"/>
  <c r="N44" i="23" s="1"/>
  <c r="J44" i="23"/>
  <c r="N43" i="20"/>
  <c r="M48" i="20"/>
  <c r="N48" i="20" s="1"/>
  <c r="J39" i="23"/>
  <c r="N43" i="21"/>
  <c r="M48" i="21"/>
  <c r="N48" i="21" s="1"/>
  <c r="N39" i="23"/>
  <c r="M48" i="23" l="1"/>
  <c r="N48" i="23" s="1"/>
  <c r="M57" i="6"/>
  <c r="M64" i="6" s="1"/>
  <c r="M58" i="6" l="1"/>
  <c r="O70" i="6"/>
  <c r="L57" i="6"/>
  <c r="L64" i="6" s="1"/>
  <c r="O57" i="6" l="1"/>
  <c r="L58" i="6"/>
  <c r="O58" i="6" s="1"/>
  <c r="C58" i="20" l="1"/>
  <c r="C58" i="21" l="1"/>
  <c r="C58" i="22" s="1"/>
  <c r="C58" i="23" l="1"/>
  <c r="F6" i="48" l="1"/>
  <c r="G6" i="48" s="1"/>
  <c r="G7" i="48" s="1"/>
  <c r="G9" i="48" s="1"/>
  <c r="G10" i="48" l="1"/>
  <c r="G11" i="48" s="1"/>
  <c r="K43" i="6" l="1"/>
  <c r="N43" i="6"/>
  <c r="L43" i="6"/>
  <c r="M43" i="6"/>
  <c r="J43" i="6"/>
  <c r="J33" i="6"/>
  <c r="J41" i="6" l="1"/>
  <c r="J35" i="6"/>
  <c r="K33" i="6"/>
  <c r="J34" i="6"/>
  <c r="I34" i="6"/>
  <c r="I41" i="6"/>
  <c r="I35" i="6"/>
  <c r="K47" i="6" l="1"/>
  <c r="K41" i="6"/>
  <c r="K35" i="6"/>
  <c r="L33" i="6"/>
  <c r="K34" i="6"/>
  <c r="J47" i="6"/>
  <c r="G18" i="20"/>
  <c r="G18" i="15"/>
  <c r="L47" i="6" l="1"/>
  <c r="L41" i="6"/>
  <c r="L35" i="6"/>
  <c r="M33" i="6"/>
  <c r="L34" i="6"/>
  <c r="D80" i="15"/>
  <c r="I80" i="15" s="1"/>
  <c r="D74" i="15"/>
  <c r="I74" i="15" s="1"/>
  <c r="D58" i="15"/>
  <c r="G18" i="21"/>
  <c r="D80" i="20"/>
  <c r="I80" i="20" s="1"/>
  <c r="D74" i="20"/>
  <c r="I74" i="20" s="1"/>
  <c r="D58" i="20"/>
  <c r="D74" i="21" l="1"/>
  <c r="I74" i="21" s="1"/>
  <c r="D80" i="21"/>
  <c r="I80" i="21" s="1"/>
  <c r="D58" i="21"/>
  <c r="E58" i="15"/>
  <c r="I58" i="15"/>
  <c r="M41" i="6"/>
  <c r="M35" i="6"/>
  <c r="M47" i="6"/>
  <c r="O47" i="6" s="1"/>
  <c r="N33" i="6"/>
  <c r="O33" i="6" s="1"/>
  <c r="M34" i="6"/>
  <c r="J74" i="15"/>
  <c r="M74" i="15"/>
  <c r="M80" i="15"/>
  <c r="N80" i="15" s="1"/>
  <c r="J80" i="15"/>
  <c r="M74" i="20"/>
  <c r="J74" i="20"/>
  <c r="J80" i="20"/>
  <c r="M80" i="20"/>
  <c r="N80" i="20" s="1"/>
  <c r="E58" i="20"/>
  <c r="I58" i="20"/>
  <c r="G18" i="22"/>
  <c r="G18" i="23" l="1"/>
  <c r="E58" i="21"/>
  <c r="I58" i="21"/>
  <c r="N74" i="20"/>
  <c r="M87" i="20"/>
  <c r="N87" i="20" s="1"/>
  <c r="D80" i="22"/>
  <c r="I80" i="22" s="1"/>
  <c r="D74" i="22"/>
  <c r="I74" i="22" s="1"/>
  <c r="D58" i="22"/>
  <c r="N47" i="6"/>
  <c r="N41" i="6"/>
  <c r="N35" i="6"/>
  <c r="O35" i="6" s="1"/>
  <c r="N34" i="6"/>
  <c r="J58" i="20"/>
  <c r="M58" i="20"/>
  <c r="I60" i="20"/>
  <c r="J58" i="15"/>
  <c r="M58" i="15"/>
  <c r="I60" i="15"/>
  <c r="M80" i="21"/>
  <c r="N80" i="21" s="1"/>
  <c r="J80" i="21"/>
  <c r="N74" i="15"/>
  <c r="M87" i="15"/>
  <c r="N87" i="15" s="1"/>
  <c r="M74" i="21"/>
  <c r="J74" i="21"/>
  <c r="J58" i="21" l="1"/>
  <c r="M58" i="21"/>
  <c r="I60" i="21"/>
  <c r="J60" i="15"/>
  <c r="D80" i="23"/>
  <c r="I80" i="23" s="1"/>
  <c r="D74" i="23"/>
  <c r="I74" i="23" s="1"/>
  <c r="D58" i="23"/>
  <c r="M74" i="22"/>
  <c r="J74" i="22"/>
  <c r="N58" i="15"/>
  <c r="M60" i="15"/>
  <c r="M87" i="21"/>
  <c r="N87" i="21" s="1"/>
  <c r="N74" i="21"/>
  <c r="E58" i="22"/>
  <c r="I58" i="22"/>
  <c r="J80" i="22"/>
  <c r="M80" i="22"/>
  <c r="N80" i="22" s="1"/>
  <c r="N58" i="20"/>
  <c r="M60" i="20"/>
  <c r="J60" i="20"/>
  <c r="O34" i="6"/>
  <c r="J58" i="22" l="1"/>
  <c r="M58" i="22"/>
  <c r="I60" i="22"/>
  <c r="E58" i="23"/>
  <c r="I58" i="23"/>
  <c r="J60" i="21"/>
  <c r="N60" i="20"/>
  <c r="M89" i="20"/>
  <c r="M89" i="15"/>
  <c r="N60" i="15"/>
  <c r="J74" i="23"/>
  <c r="M74" i="23"/>
  <c r="N58" i="21"/>
  <c r="M60" i="21"/>
  <c r="M87" i="22"/>
  <c r="N87" i="22" s="1"/>
  <c r="N74" i="22"/>
  <c r="M80" i="23"/>
  <c r="N80" i="23" s="1"/>
  <c r="J80" i="23"/>
  <c r="N58" i="22" l="1"/>
  <c r="M60" i="22"/>
  <c r="N89" i="15"/>
  <c r="N60" i="21"/>
  <c r="M89" i="21"/>
  <c r="N89" i="20"/>
  <c r="N74" i="23"/>
  <c r="M87" i="23"/>
  <c r="N87" i="23" s="1"/>
  <c r="J58" i="23"/>
  <c r="I60" i="23"/>
  <c r="M58" i="23"/>
  <c r="J60" i="22"/>
  <c r="N89" i="21" l="1"/>
  <c r="N58" i="23"/>
  <c r="M60" i="23"/>
  <c r="J60" i="23"/>
  <c r="N60" i="22"/>
  <c r="M89" i="22"/>
  <c r="N89" i="22" l="1"/>
  <c r="N60" i="23"/>
  <c r="M89" i="23"/>
  <c r="N89" i="23" l="1"/>
  <c r="O45" i="6" l="1"/>
  <c r="H33" i="6"/>
  <c r="H41" i="6" s="1"/>
  <c r="H34" i="6"/>
  <c r="H35" i="6" l="1"/>
  <c r="G18" i="3"/>
  <c r="D74" i="3" l="1"/>
  <c r="I74" i="3" s="1"/>
  <c r="D80" i="3"/>
  <c r="I87" i="3" s="1"/>
  <c r="J87" i="3" s="1"/>
  <c r="D58" i="3"/>
  <c r="E58" i="3" l="1"/>
  <c r="I58" i="3"/>
  <c r="M80" i="3"/>
  <c r="N80" i="3" s="1"/>
  <c r="J80" i="3"/>
  <c r="M74" i="3"/>
  <c r="J74" i="3"/>
  <c r="N74" i="3" l="1"/>
  <c r="M87" i="3"/>
  <c r="N87" i="3" s="1"/>
  <c r="M58" i="3"/>
  <c r="J58" i="3"/>
  <c r="I60" i="3"/>
  <c r="J60" i="3" l="1"/>
  <c r="I89" i="3"/>
  <c r="N58" i="3"/>
  <c r="M60" i="3"/>
  <c r="N60" i="3" l="1"/>
  <c r="M89" i="3"/>
  <c r="J89" i="3"/>
  <c r="N89" i="3" l="1"/>
  <c r="E31" i="3" l="1"/>
  <c r="G3" i="2"/>
  <c r="G13" i="2" s="1"/>
  <c r="D13" i="2"/>
  <c r="E34" i="3"/>
  <c r="F27" i="3"/>
  <c r="E33" i="3"/>
  <c r="H3" i="2" l="1"/>
  <c r="I3" i="2" s="1"/>
  <c r="I13" i="2" s="1"/>
  <c r="E31" i="15"/>
  <c r="F31" i="3"/>
  <c r="G31" i="3" s="1"/>
  <c r="E32" i="3"/>
  <c r="F32" i="3" s="1"/>
  <c r="G32" i="3" s="1"/>
  <c r="F34" i="3"/>
  <c r="G34" i="3" s="1"/>
  <c r="F33" i="3"/>
  <c r="G27" i="3"/>
  <c r="E32" i="15" l="1"/>
  <c r="F32" i="15" s="1"/>
  <c r="G32" i="15" s="1"/>
  <c r="E34" i="15"/>
  <c r="F34" i="15" s="1"/>
  <c r="G34" i="15" s="1"/>
  <c r="E33" i="15"/>
  <c r="F33" i="15" s="1"/>
  <c r="G33" i="15" s="1"/>
  <c r="F27" i="15"/>
  <c r="G27" i="15" s="1"/>
  <c r="E36" i="3"/>
  <c r="E50" i="3" s="1"/>
  <c r="H13" i="2"/>
  <c r="J3" i="2"/>
  <c r="J24" i="2" s="1"/>
  <c r="J23" i="2" s="1"/>
  <c r="J26" i="2" s="1"/>
  <c r="J27" i="2" s="1"/>
  <c r="F36" i="3"/>
  <c r="F50" i="3" s="1"/>
  <c r="H34" i="3"/>
  <c r="I34" i="3" s="1"/>
  <c r="H32" i="3"/>
  <c r="I32" i="3" s="1"/>
  <c r="F31" i="15"/>
  <c r="G33" i="3"/>
  <c r="G36" i="3" s="1"/>
  <c r="G50" i="3" s="1"/>
  <c r="H27" i="3"/>
  <c r="H31" i="3"/>
  <c r="I31" i="3" s="1"/>
  <c r="F27" i="20" l="1"/>
  <c r="G27" i="20" s="1"/>
  <c r="F32" i="20"/>
  <c r="G32" i="20" s="1"/>
  <c r="F31" i="20"/>
  <c r="G31" i="20" s="1"/>
  <c r="E34" i="20"/>
  <c r="F34" i="20" s="1"/>
  <c r="G34" i="20" s="1"/>
  <c r="E33" i="20"/>
  <c r="F33" i="20" s="1"/>
  <c r="G33" i="20" s="1"/>
  <c r="E36" i="15"/>
  <c r="E50" i="15" s="1"/>
  <c r="J13" i="2"/>
  <c r="F36" i="15"/>
  <c r="F50" i="15" s="1"/>
  <c r="M32" i="3"/>
  <c r="N32" i="3" s="1"/>
  <c r="J32" i="3"/>
  <c r="H32" i="15"/>
  <c r="I32" i="15" s="1"/>
  <c r="H33" i="15"/>
  <c r="I33" i="15" s="1"/>
  <c r="H27" i="20"/>
  <c r="I27" i="20" s="1"/>
  <c r="G31" i="15"/>
  <c r="H34" i="15"/>
  <c r="I34" i="15" s="1"/>
  <c r="H33" i="3"/>
  <c r="I33" i="3" s="1"/>
  <c r="M31" i="3"/>
  <c r="N31" i="3" s="1"/>
  <c r="J31" i="3"/>
  <c r="C11" i="35"/>
  <c r="E31" i="21"/>
  <c r="E32" i="21"/>
  <c r="F27" i="21"/>
  <c r="G27" i="21" s="1"/>
  <c r="E34" i="21"/>
  <c r="J34" i="3"/>
  <c r="M34" i="3"/>
  <c r="N34" i="3" s="1"/>
  <c r="H27" i="15"/>
  <c r="I27" i="3"/>
  <c r="E36" i="20" l="1"/>
  <c r="E50" i="20" s="1"/>
  <c r="H36" i="3"/>
  <c r="H50" i="3" s="1"/>
  <c r="G36" i="20"/>
  <c r="G50" i="20" s="1"/>
  <c r="F36" i="20"/>
  <c r="F50" i="20" s="1"/>
  <c r="H27" i="21"/>
  <c r="I27" i="21" s="1"/>
  <c r="M32" i="15"/>
  <c r="N32" i="15" s="1"/>
  <c r="J32" i="15"/>
  <c r="E31" i="22"/>
  <c r="E32" i="22"/>
  <c r="E33" i="22"/>
  <c r="E34" i="22"/>
  <c r="F27" i="22"/>
  <c r="G27" i="22" s="1"/>
  <c r="J33" i="3"/>
  <c r="M33" i="3"/>
  <c r="N33" i="3" s="1"/>
  <c r="H33" i="20"/>
  <c r="I33" i="20" s="1"/>
  <c r="J27" i="20"/>
  <c r="M27" i="20"/>
  <c r="H34" i="20"/>
  <c r="I34" i="20" s="1"/>
  <c r="F34" i="21"/>
  <c r="G34" i="21" s="1"/>
  <c r="E11" i="35"/>
  <c r="H31" i="15"/>
  <c r="H36" i="15" s="1"/>
  <c r="H50" i="15" s="1"/>
  <c r="F32" i="21"/>
  <c r="G32" i="21" s="1"/>
  <c r="C15" i="35"/>
  <c r="C17" i="35" s="1"/>
  <c r="C28" i="35" s="1"/>
  <c r="C39" i="35"/>
  <c r="E36" i="21"/>
  <c r="E50" i="21" s="1"/>
  <c r="D11" i="35"/>
  <c r="H32" i="20"/>
  <c r="I32" i="20" s="1"/>
  <c r="G36" i="15"/>
  <c r="G50" i="15" s="1"/>
  <c r="H31" i="20"/>
  <c r="I31" i="20" s="1"/>
  <c r="F33" i="21"/>
  <c r="G33" i="21" s="1"/>
  <c r="J34" i="15"/>
  <c r="M34" i="15"/>
  <c r="N34" i="15" s="1"/>
  <c r="M33" i="15"/>
  <c r="N33" i="15" s="1"/>
  <c r="J33" i="15"/>
  <c r="J27" i="3"/>
  <c r="M27" i="3"/>
  <c r="I36" i="3"/>
  <c r="I27" i="15"/>
  <c r="F31" i="21"/>
  <c r="E36" i="22" l="1"/>
  <c r="E50" i="22" s="1"/>
  <c r="I31" i="15"/>
  <c r="M31" i="15" s="1"/>
  <c r="N31" i="15" s="1"/>
  <c r="F36" i="21"/>
  <c r="F50" i="21" s="1"/>
  <c r="H33" i="21"/>
  <c r="I33" i="21" s="1"/>
  <c r="J34" i="20"/>
  <c r="M34" i="20"/>
  <c r="N34" i="20" s="1"/>
  <c r="H32" i="21"/>
  <c r="I32" i="21" s="1"/>
  <c r="H27" i="22"/>
  <c r="I27" i="22" s="1"/>
  <c r="J31" i="20"/>
  <c r="M31" i="20"/>
  <c r="N31" i="20" s="1"/>
  <c r="I36" i="20"/>
  <c r="H34" i="21"/>
  <c r="I34" i="21" s="1"/>
  <c r="E32" i="23"/>
  <c r="E33" i="23"/>
  <c r="E34" i="23"/>
  <c r="F27" i="23"/>
  <c r="G27" i="23" s="1"/>
  <c r="E31" i="23"/>
  <c r="J31" i="15"/>
  <c r="N27" i="3"/>
  <c r="M36" i="3"/>
  <c r="G31" i="21"/>
  <c r="C44" i="35"/>
  <c r="C46" i="35" s="1"/>
  <c r="C57" i="35" s="1"/>
  <c r="E15" i="35"/>
  <c r="E17" i="35" s="1"/>
  <c r="E28" i="35" s="1"/>
  <c r="E39" i="35"/>
  <c r="F34" i="22"/>
  <c r="G34" i="22" s="1"/>
  <c r="D15" i="35"/>
  <c r="D17" i="35" s="1"/>
  <c r="D28" i="35" s="1"/>
  <c r="D39" i="35"/>
  <c r="H36" i="20"/>
  <c r="H50" i="20" s="1"/>
  <c r="F33" i="22"/>
  <c r="G33" i="22" s="1"/>
  <c r="J27" i="21"/>
  <c r="M27" i="21"/>
  <c r="J27" i="15"/>
  <c r="M27" i="15"/>
  <c r="I36" i="15"/>
  <c r="N27" i="20"/>
  <c r="F32" i="22"/>
  <c r="G32" i="22" s="1"/>
  <c r="F11" i="35"/>
  <c r="J33" i="20"/>
  <c r="M33" i="20"/>
  <c r="N33" i="20" s="1"/>
  <c r="J36" i="3"/>
  <c r="I50" i="3"/>
  <c r="M32" i="20"/>
  <c r="N32" i="20" s="1"/>
  <c r="J32" i="20"/>
  <c r="F31" i="22"/>
  <c r="M36" i="20" l="1"/>
  <c r="M50" i="20" s="1"/>
  <c r="F36" i="22"/>
  <c r="F50" i="22" s="1"/>
  <c r="E36" i="23"/>
  <c r="E50" i="23" s="1"/>
  <c r="M33" i="21"/>
  <c r="N33" i="21" s="1"/>
  <c r="J33" i="21"/>
  <c r="H32" i="22"/>
  <c r="I32" i="22" s="1"/>
  <c r="J32" i="21"/>
  <c r="M32" i="21"/>
  <c r="N32" i="21" s="1"/>
  <c r="J36" i="20"/>
  <c r="I50" i="20"/>
  <c r="H31" i="21"/>
  <c r="H36" i="21" s="1"/>
  <c r="H50" i="21" s="1"/>
  <c r="G36" i="21"/>
  <c r="G50" i="21" s="1"/>
  <c r="F32" i="23"/>
  <c r="G32" i="23" s="1"/>
  <c r="N36" i="3"/>
  <c r="M50" i="3"/>
  <c r="H34" i="22"/>
  <c r="I34" i="22" s="1"/>
  <c r="D44" i="35"/>
  <c r="D46" i="35" s="1"/>
  <c r="D57" i="35" s="1"/>
  <c r="N27" i="21"/>
  <c r="H27" i="23"/>
  <c r="J34" i="21"/>
  <c r="M34" i="21"/>
  <c r="N34" i="21" s="1"/>
  <c r="E44" i="35"/>
  <c r="E46" i="35" s="1"/>
  <c r="E57" i="35" s="1"/>
  <c r="N27" i="15"/>
  <c r="M36" i="15"/>
  <c r="F33" i="23"/>
  <c r="G33" i="23" s="1"/>
  <c r="G31" i="22"/>
  <c r="J50" i="3"/>
  <c r="I91" i="3"/>
  <c r="H33" i="22"/>
  <c r="I33" i="22" s="1"/>
  <c r="F31" i="23"/>
  <c r="G31" i="23" s="1"/>
  <c r="J27" i="22"/>
  <c r="M27" i="22"/>
  <c r="F15" i="35"/>
  <c r="F17" i="35" s="1"/>
  <c r="F28" i="35" s="1"/>
  <c r="F39" i="35"/>
  <c r="G11" i="35"/>
  <c r="I50" i="15"/>
  <c r="J36" i="15"/>
  <c r="F34" i="23"/>
  <c r="N36" i="20" l="1"/>
  <c r="F36" i="23"/>
  <c r="F50" i="23" s="1"/>
  <c r="H32" i="23"/>
  <c r="I32" i="23" s="1"/>
  <c r="H33" i="23"/>
  <c r="I33" i="23" s="1"/>
  <c r="H11" i="35"/>
  <c r="N27" i="22"/>
  <c r="J50" i="20"/>
  <c r="N50" i="20"/>
  <c r="M91" i="20"/>
  <c r="J91" i="3"/>
  <c r="I96" i="3"/>
  <c r="I94" i="3"/>
  <c r="G34" i="23"/>
  <c r="G36" i="23" s="1"/>
  <c r="G50" i="23" s="1"/>
  <c r="F44" i="35"/>
  <c r="F46" i="35" s="1"/>
  <c r="F57" i="35" s="1"/>
  <c r="N50" i="3"/>
  <c r="M91" i="3"/>
  <c r="H31" i="22"/>
  <c r="H36" i="22" s="1"/>
  <c r="H50" i="22" s="1"/>
  <c r="G36" i="22"/>
  <c r="G50" i="22" s="1"/>
  <c r="N36" i="15"/>
  <c r="M50" i="15"/>
  <c r="J34" i="22"/>
  <c r="M34" i="22"/>
  <c r="N34" i="22" s="1"/>
  <c r="H31" i="23"/>
  <c r="I31" i="23" s="1"/>
  <c r="M33" i="22"/>
  <c r="N33" i="22" s="1"/>
  <c r="J33" i="22"/>
  <c r="M32" i="22"/>
  <c r="N32" i="22" s="1"/>
  <c r="J32" i="22"/>
  <c r="G15" i="35"/>
  <c r="G17" i="35" s="1"/>
  <c r="G28" i="35" s="1"/>
  <c r="G39" i="35"/>
  <c r="J50" i="15"/>
  <c r="I27" i="23"/>
  <c r="I31" i="21"/>
  <c r="J31" i="23" l="1"/>
  <c r="M31" i="23"/>
  <c r="N31" i="23" s="1"/>
  <c r="I31" i="22"/>
  <c r="I98" i="3"/>
  <c r="M94" i="3"/>
  <c r="J94" i="3"/>
  <c r="N91" i="3"/>
  <c r="M96" i="3"/>
  <c r="N96" i="3" s="1"/>
  <c r="J96" i="3"/>
  <c r="J33" i="23"/>
  <c r="M33" i="23"/>
  <c r="N33" i="23" s="1"/>
  <c r="I11" i="35"/>
  <c r="J31" i="21"/>
  <c r="M31" i="21"/>
  <c r="I36" i="21"/>
  <c r="J27" i="23"/>
  <c r="M27" i="23"/>
  <c r="M32" i="23"/>
  <c r="N32" i="23" s="1"/>
  <c r="J32" i="23"/>
  <c r="N50" i="15"/>
  <c r="M91" i="15"/>
  <c r="N91" i="20"/>
  <c r="H15" i="35"/>
  <c r="H17" i="35" s="1"/>
  <c r="H28" i="35" s="1"/>
  <c r="H39" i="35"/>
  <c r="G44" i="35"/>
  <c r="G46" i="35" s="1"/>
  <c r="G57" i="35" s="1"/>
  <c r="H34" i="23"/>
  <c r="H36" i="23" s="1"/>
  <c r="H50" i="23" s="1"/>
  <c r="I34" i="23" l="1"/>
  <c r="J34" i="23" s="1"/>
  <c r="J98" i="3"/>
  <c r="I100" i="3"/>
  <c r="H44" i="35"/>
  <c r="H46" i="35" s="1"/>
  <c r="H57" i="35" s="1"/>
  <c r="I15" i="35"/>
  <c r="I17" i="35" s="1"/>
  <c r="I28" i="35" s="1"/>
  <c r="I39" i="35"/>
  <c r="J36" i="21"/>
  <c r="I50" i="21"/>
  <c r="N31" i="21"/>
  <c r="M36" i="21"/>
  <c r="N27" i="23"/>
  <c r="N91" i="15"/>
  <c r="N94" i="3"/>
  <c r="M98" i="3"/>
  <c r="J31" i="22"/>
  <c r="M31" i="22"/>
  <c r="I36" i="22"/>
  <c r="I36" i="23" l="1"/>
  <c r="J36" i="23" s="1"/>
  <c r="M34" i="23"/>
  <c r="N34" i="23" s="1"/>
  <c r="N36" i="21"/>
  <c r="M50" i="21"/>
  <c r="I50" i="22"/>
  <c r="J36" i="22"/>
  <c r="I44" i="35"/>
  <c r="I46" i="35" s="1"/>
  <c r="I57" i="35" s="1"/>
  <c r="J50" i="21"/>
  <c r="I102" i="3"/>
  <c r="J102" i="3" s="1"/>
  <c r="J100" i="3"/>
  <c r="L98" i="3" s="1"/>
  <c r="N31" i="22"/>
  <c r="M36" i="22"/>
  <c r="N98" i="3"/>
  <c r="M100" i="3"/>
  <c r="I50" i="23" l="1"/>
  <c r="M36" i="23"/>
  <c r="N36" i="23" s="1"/>
  <c r="I104" i="3"/>
  <c r="J104" i="3" s="1"/>
  <c r="L104" i="3" s="1"/>
  <c r="N100" i="3"/>
  <c r="M102" i="3"/>
  <c r="N102" i="3" s="1"/>
  <c r="N36" i="22"/>
  <c r="M50" i="22"/>
  <c r="J50" i="23"/>
  <c r="J50" i="22"/>
  <c r="L48" i="3"/>
  <c r="L60" i="3"/>
  <c r="L87" i="3"/>
  <c r="L100" i="3"/>
  <c r="L89" i="3"/>
  <c r="L36" i="3"/>
  <c r="L50" i="3"/>
  <c r="L91" i="3"/>
  <c r="L96" i="3"/>
  <c r="L94" i="3"/>
  <c r="N50" i="21"/>
  <c r="M91" i="21"/>
  <c r="M50" i="23" l="1"/>
  <c r="N50" i="23" s="1"/>
  <c r="M104" i="3"/>
  <c r="N104" i="3" s="1"/>
  <c r="N50" i="22"/>
  <c r="M91" i="22"/>
  <c r="N91" i="21"/>
  <c r="M91" i="23" l="1"/>
  <c r="N91" i="23" s="1"/>
  <c r="N91" i="22"/>
  <c r="J85" i="15" l="1"/>
  <c r="I87" i="15"/>
  <c r="I85" i="20"/>
  <c r="I85" i="21" l="1"/>
  <c r="I85" i="22" s="1"/>
  <c r="I85" i="23" s="1"/>
  <c r="J85" i="20"/>
  <c r="J87" i="15"/>
  <c r="I89" i="15"/>
  <c r="I87" i="20"/>
  <c r="J89" i="15" l="1"/>
  <c r="I91" i="15"/>
  <c r="I89" i="20"/>
  <c r="J87" i="20"/>
  <c r="I87" i="21"/>
  <c r="J85" i="21"/>
  <c r="J87" i="21" l="1"/>
  <c r="I89" i="21"/>
  <c r="J89" i="20"/>
  <c r="I91" i="20"/>
  <c r="J91" i="15"/>
  <c r="I94" i="15"/>
  <c r="I96" i="15"/>
  <c r="J85" i="22"/>
  <c r="I87" i="22"/>
  <c r="J85" i="23" l="1"/>
  <c r="I87" i="23"/>
  <c r="M96" i="15"/>
  <c r="N96" i="15" s="1"/>
  <c r="J96" i="15"/>
  <c r="I89" i="22"/>
  <c r="J87" i="22"/>
  <c r="I98" i="15"/>
  <c r="M94" i="15"/>
  <c r="J94" i="15"/>
  <c r="J91" i="20"/>
  <c r="I96" i="20"/>
  <c r="I94" i="20"/>
  <c r="J89" i="21"/>
  <c r="I91" i="21"/>
  <c r="J91" i="21" l="1"/>
  <c r="I96" i="21"/>
  <c r="I94" i="21"/>
  <c r="J96" i="20"/>
  <c r="M96" i="20"/>
  <c r="N96" i="20" s="1"/>
  <c r="M98" i="15"/>
  <c r="N94" i="15"/>
  <c r="I98" i="20"/>
  <c r="J94" i="20"/>
  <c r="M94" i="20"/>
  <c r="J98" i="15"/>
  <c r="I100" i="15"/>
  <c r="J89" i="22"/>
  <c r="I91" i="22"/>
  <c r="J87" i="23"/>
  <c r="I89" i="23"/>
  <c r="J89" i="23" l="1"/>
  <c r="I91" i="23"/>
  <c r="I102" i="15"/>
  <c r="J102" i="15" s="1"/>
  <c r="J100" i="15"/>
  <c r="L98" i="15" s="1"/>
  <c r="N98" i="15"/>
  <c r="M100" i="15"/>
  <c r="M94" i="21"/>
  <c r="I98" i="21"/>
  <c r="J94" i="21"/>
  <c r="I96" i="22"/>
  <c r="J91" i="22"/>
  <c r="I94" i="22"/>
  <c r="N94" i="20"/>
  <c r="M98" i="20"/>
  <c r="J98" i="20"/>
  <c r="I100" i="20"/>
  <c r="M96" i="21"/>
  <c r="N96" i="21" s="1"/>
  <c r="J96" i="21"/>
  <c r="I104" i="15" l="1"/>
  <c r="J104" i="15" s="1"/>
  <c r="L104" i="15" s="1"/>
  <c r="M94" i="22"/>
  <c r="J94" i="22"/>
  <c r="I98" i="22"/>
  <c r="M96" i="22"/>
  <c r="N96" i="22" s="1"/>
  <c r="J96" i="22"/>
  <c r="J98" i="21"/>
  <c r="I100" i="21"/>
  <c r="N94" i="21"/>
  <c r="M98" i="21"/>
  <c r="I102" i="20"/>
  <c r="J102" i="20" s="1"/>
  <c r="J100" i="20"/>
  <c r="L98" i="20" s="1"/>
  <c r="N98" i="20"/>
  <c r="M100" i="20"/>
  <c r="M102" i="15"/>
  <c r="N102" i="15" s="1"/>
  <c r="N100" i="15"/>
  <c r="L36" i="15"/>
  <c r="L60" i="15"/>
  <c r="L48" i="15"/>
  <c r="L100" i="15"/>
  <c r="L50" i="15"/>
  <c r="L87" i="15"/>
  <c r="L89" i="15"/>
  <c r="L91" i="15"/>
  <c r="L94" i="15"/>
  <c r="L96" i="15"/>
  <c r="J91" i="23"/>
  <c r="I94" i="23"/>
  <c r="I96" i="23"/>
  <c r="M104" i="15" l="1"/>
  <c r="N104" i="15" s="1"/>
  <c r="M96" i="23"/>
  <c r="N96" i="23" s="1"/>
  <c r="J96" i="23"/>
  <c r="I98" i="23"/>
  <c r="M94" i="23"/>
  <c r="J94" i="23"/>
  <c r="N100" i="20"/>
  <c r="M102" i="20"/>
  <c r="N102" i="20" s="1"/>
  <c r="L60" i="20"/>
  <c r="L48" i="20"/>
  <c r="L36" i="20"/>
  <c r="L50" i="20"/>
  <c r="L100" i="20"/>
  <c r="L87" i="20"/>
  <c r="L89" i="20"/>
  <c r="L91" i="20"/>
  <c r="L96" i="20"/>
  <c r="L94" i="20"/>
  <c r="I104" i="20"/>
  <c r="J104" i="20" s="1"/>
  <c r="L104" i="20" s="1"/>
  <c r="N98" i="21"/>
  <c r="M100" i="21"/>
  <c r="I102" i="21"/>
  <c r="J102" i="21" s="1"/>
  <c r="J100" i="21"/>
  <c r="J98" i="22"/>
  <c r="I100" i="22"/>
  <c r="N94" i="22"/>
  <c r="M98" i="22"/>
  <c r="I104" i="21" l="1"/>
  <c r="J104" i="21" s="1"/>
  <c r="L104" i="21" s="1"/>
  <c r="M100" i="22"/>
  <c r="N98" i="22"/>
  <c r="I102" i="22"/>
  <c r="J102" i="22" s="1"/>
  <c r="J100" i="22"/>
  <c r="L98" i="22" s="1"/>
  <c r="M104" i="20"/>
  <c r="N104" i="20" s="1"/>
  <c r="J98" i="23"/>
  <c r="I100" i="23"/>
  <c r="L36" i="21"/>
  <c r="L100" i="21"/>
  <c r="L48" i="21"/>
  <c r="L60" i="21"/>
  <c r="L50" i="21"/>
  <c r="L87" i="21"/>
  <c r="L89" i="21"/>
  <c r="L91" i="21"/>
  <c r="L96" i="21"/>
  <c r="L94" i="21"/>
  <c r="N100" i="21"/>
  <c r="M102" i="21"/>
  <c r="N102" i="21" s="1"/>
  <c r="L98" i="21"/>
  <c r="N94" i="23"/>
  <c r="M98" i="23"/>
  <c r="M104" i="21" l="1"/>
  <c r="N104" i="21" s="1"/>
  <c r="N98" i="23"/>
  <c r="M100" i="23"/>
  <c r="I102" i="23"/>
  <c r="J102" i="23" s="1"/>
  <c r="J100" i="23"/>
  <c r="L98" i="23" s="1"/>
  <c r="L36" i="22"/>
  <c r="L100" i="22"/>
  <c r="L48" i="22"/>
  <c r="L50" i="22"/>
  <c r="L60" i="22"/>
  <c r="L87" i="22"/>
  <c r="L89" i="22"/>
  <c r="L91" i="22"/>
  <c r="L94" i="22"/>
  <c r="L96" i="22"/>
  <c r="I104" i="22"/>
  <c r="J104" i="22" s="1"/>
  <c r="L104" i="22" s="1"/>
  <c r="M102" i="22"/>
  <c r="N102" i="22" s="1"/>
  <c r="N100" i="22"/>
  <c r="M104" i="22" l="1"/>
  <c r="N104" i="22" s="1"/>
  <c r="L100" i="23"/>
  <c r="L48" i="23"/>
  <c r="L50" i="23"/>
  <c r="L60" i="23"/>
  <c r="L36" i="23"/>
  <c r="L87" i="23"/>
  <c r="L89" i="23"/>
  <c r="L91" i="23"/>
  <c r="L96" i="23"/>
  <c r="L94" i="23"/>
  <c r="I104" i="23"/>
  <c r="J104" i="23" s="1"/>
  <c r="L104" i="23" s="1"/>
  <c r="N100" i="23"/>
  <c r="M102" i="23"/>
  <c r="N102" i="23" s="1"/>
  <c r="M104" i="23" l="1"/>
  <c r="N104" i="23" s="1"/>
</calcChain>
</file>

<file path=xl/comments1.xml><?xml version="1.0" encoding="utf-8"?>
<comments xmlns="http://schemas.openxmlformats.org/spreadsheetml/2006/main">
  <authors>
    <author>Ajuntament de Barcelona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 xml:space="preserve">Passem d'1 a 2
</t>
        </r>
      </text>
    </comment>
    <comment ref="A4" authorId="0">
      <text>
        <r>
          <rPr>
            <b/>
            <sz val="9"/>
            <color indexed="81"/>
            <rFont val="Tahoma"/>
            <family val="2"/>
          </rPr>
          <t>Passem de 2 a 4</t>
        </r>
      </text>
    </comment>
  </commentList>
</comments>
</file>

<file path=xl/comments2.xml><?xml version="1.0" encoding="utf-8"?>
<comments xmlns="http://schemas.openxmlformats.org/spreadsheetml/2006/main">
  <authors>
    <author>Ajuntament de Barcelona</author>
    <author>Ricard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Art.28.1 Conveni 30 dies naturals</t>
        </r>
      </text>
    </comment>
    <comment ref="M7" authorId="1">
      <text>
        <r>
          <rPr>
            <b/>
            <sz val="9"/>
            <color indexed="81"/>
            <rFont val="Tahoma"/>
            <family val="2"/>
          </rPr>
          <t>Art.29.K. Conveni</t>
        </r>
        <r>
          <rPr>
            <sz val="9"/>
            <color indexed="81"/>
            <rFont val="Tahoma"/>
            <family val="2"/>
          </rPr>
          <t xml:space="preserve">
4 días de libre disposición a lo largo del año</t>
        </r>
      </text>
    </comment>
    <comment ref="H13" authorId="1">
      <text>
        <r>
          <rPr>
            <sz val="9"/>
            <color indexed="81"/>
            <rFont val="Tahoma"/>
            <family val="2"/>
          </rPr>
          <t>Font. Xavi Perez (RRHH, IMSS) MAIL: 9/2/21
• El desglossament d’aquestes despeses és el següent:
o Seguretat Social a Càrrec de l’empresa: 23,60%
o Cotització per IT (mort, incapacitat i supervivència): 1,50%
o Atur: 5,50% com a tipus general, i 6,70% en cas de contractes de durada determinada
o Formació Professional: 0,60%
o Fons de Garantia Salarial (FOGASA): 0,20%
o TOTAL: 31,40%, o 32,60% en cas de contractes de durada determinada.
En aquesta forquiilla hem agafat 32,5%</t>
        </r>
      </text>
    </comment>
    <comment ref="D58" authorId="0">
      <text>
        <r>
          <rPr>
            <sz val="9"/>
            <color indexed="81"/>
            <rFont val="Tahoma"/>
            <family val="2"/>
          </rPr>
          <t xml:space="preserve">37 barquetes setmanals * 52 setmanes * usuaris del servei
Càlcul a màxims de barquetes setmanals/anuals
</t>
        </r>
      </text>
    </comment>
    <comment ref="A64" authorId="0">
      <text>
        <r>
          <rPr>
            <b/>
            <sz val="9"/>
            <color indexed="81"/>
            <rFont val="Tahoma"/>
            <family val="2"/>
          </rPr>
          <t>52 setmanes * 25€ en productes de neteja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Preu inclou assegurança, manteniment ITV, revisions</t>
        </r>
      </text>
    </comment>
    <comment ref="C69" authorId="0">
      <text>
        <r>
          <rPr>
            <b/>
            <sz val="9"/>
            <color indexed="81"/>
            <rFont val="Tahoma"/>
            <family val="2"/>
          </rPr>
          <t>Càlcul realitzat en base a l'anterior plec on hi havia 10 furgonetes.
S'ha calculat el preu en base a que hi ha un augment del preu del renting segons IPC 8,8%
Càlcul mensual per cada furgoneta frigorífica: 850,83€ * 8,8% =925,70€/mes</t>
        </r>
      </text>
    </comment>
    <comment ref="C70" authorId="0">
      <text>
        <r>
          <rPr>
            <b/>
            <sz val="9"/>
            <color indexed="81"/>
            <rFont val="Tahoma"/>
            <family val="2"/>
          </rPr>
          <t>52 setmanes * 20 euros de servei neteja</t>
        </r>
      </text>
    </comment>
    <comment ref="A71" authorId="0">
      <text>
        <r>
          <rPr>
            <b/>
            <sz val="9"/>
            <color indexed="81"/>
            <rFont val="Tahoma"/>
            <family val="2"/>
          </rPr>
          <t>Reposta de vehicle cada 5 dies * 50 llitres dipòsit * 2,1 €/litre benzina</t>
        </r>
      </text>
    </comment>
    <comment ref="C71" authorId="0">
      <text>
        <r>
          <rPr>
            <b/>
            <sz val="9"/>
            <color indexed="81"/>
            <rFont val="Tahoma"/>
            <family val="2"/>
          </rPr>
          <t>Reposta de vehicle setmanal * 50 llitres dipòsit * 2,10 €/litre benzina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365/5 = 73
Cada 5 dies omplim depòsit de benzina
73 vegades que repostem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Km realitzats a la setmana:
20km*2 Palleja-BCN-Palleja + 15 km a Barcelona
2 serveis: dinar i sopar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0,19 €/km despesa de desplaçament 2022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Km realitzats a la setmana:
Diaris: 20km*2 Palleja-BCN-Palleja + 15 km a Barcelona = 55km
Hi ha mitjana de 80 usuaris nous al mes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Preu a internet de 49€ dividim per 4 pels anys d'amortització</t>
        </r>
      </text>
    </comment>
    <comment ref="D73" authorId="0">
      <text>
        <r>
          <rPr>
            <b/>
            <sz val="9"/>
            <color indexed="81"/>
            <rFont val="Tahoma"/>
            <family val="2"/>
          </rPr>
          <t xml:space="preserve">Any 2021, 119 usuaris que tenen microones en préstec
Estimem 125 per possible increment, any 2021 eren 119
</t>
        </r>
      </text>
    </comment>
    <comment ref="D74" authorId="0">
      <text>
        <r>
          <rPr>
            <b/>
            <sz val="9"/>
            <color indexed="81"/>
            <rFont val="Tahoma"/>
            <family val="2"/>
          </rPr>
          <t xml:space="preserve">A cada usuari: 1 manual mensual + 1 manual amb explicacions del servei
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50 usuaris * 12 mesos</t>
        </r>
      </text>
    </comment>
    <comment ref="C77" authorId="0">
      <text>
        <r>
          <rPr>
            <b/>
            <sz val="9"/>
            <color indexed="81"/>
            <rFont val="Tahoma"/>
            <family val="2"/>
          </rPr>
          <t xml:space="preserve">1875€ en 5 anys
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 xml:space="preserve">De: Ana Oceja Fernandez [mailto:ana.oceja@eurest.es] 
Enviat: divendres, 29 d’abril de 2022 12:35
Per a: JOU CABALLERO, EVA
Tema: Coste de centralita y llamadas telefónicas
CORREU EXTERN: Si el correu electrònic que has rebut conté enllaços o documents adjunts, recorda no obrir-los ni descarregar-los, llevat que confiïs en la persona remitent del missatge i que el seu contingut és segur.
.
Hola Eva,
Adjunto estos datos, nos falta la consulta sobre el seguro de responsabilidad civil y el equipamiento de cocina, en cuanto lo tenga te lo mando.
Nos vemos el martes, buen finde
Coste de instalación y mnto:      1500€/año
Coste de Llamadas:  para 2021
MES COSTE
ENERO 148,98 €
FEBRERO 57,08 €
MARZO 126,22 €
ABRIL 227,11 €
MAYO 255,10 €
JUNIO 330,00 €
JULIO 370,00 €
AGOSTO 411,35 €
SEPTIEMBRE 603,02 €
OCTUBRE 702,26 €
NOVIEMBRE 366,88 €
DICIEMBRE 297,04 €
TOTAL 3.895,05 €
Horario de atención al cliente: 
Lunes a viernes de 8:00 a 20:00
Sábados y festivos de 8:00 a 16:00
Los importes son sin IVA
Los meses de junio y julio son estimados, no disponemos de esa informacion.
Ana Oceja Fernández
National Operations Manager VITArest
Calle Pinar de San José, 98 – 28054 Madrid
Compass Group Spain
Phone no +34 91 542 53 39 (ext. 1193)
Mobile Phone. +34 677 57 94 21
E-mail : ana.oceja@eurest.es
</t>
        </r>
      </text>
    </comment>
    <comment ref="C79" authorId="0">
      <text>
        <r>
          <rPr>
            <b/>
            <sz val="9"/>
            <color indexed="81"/>
            <rFont val="Tahoma"/>
            <family val="2"/>
          </rPr>
          <t xml:space="preserve">Preu mensual de 
software de gestió per numero d'usuaris
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 xml:space="preserve">Mesos
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>Preu actualitzat al 8,8% d'IPC.
Fent cerques, el preu es troba en forquilla 19,90€ a 29,80€</t>
        </r>
      </text>
    </comment>
    <comment ref="D80" authorId="0">
      <text>
        <r>
          <rPr>
            <b/>
            <sz val="9"/>
            <color indexed="81"/>
            <rFont val="Tahoma"/>
            <family val="2"/>
          </rPr>
          <t>1 codi QR per usuari del servei</t>
        </r>
      </text>
    </comment>
    <comment ref="A83" authorId="0">
      <text>
        <r>
          <rPr>
            <sz val="9"/>
            <color indexed="81"/>
            <rFont val="Tahoma"/>
            <family val="2"/>
          </rPr>
          <t xml:space="preserve">
Auditoria tècnica
</t>
        </r>
      </text>
    </comment>
    <comment ref="A84" authorId="0">
      <text>
        <r>
          <rPr>
            <b/>
            <sz val="9"/>
            <color indexed="81"/>
            <rFont val="Tahoma"/>
            <family val="2"/>
          </rPr>
          <t>Auditoria de satisfacció del Usuari.</t>
        </r>
      </text>
    </comment>
    <comment ref="A85" authorId="0">
      <text>
        <r>
          <rPr>
            <b/>
            <sz val="9"/>
            <color indexed="81"/>
            <rFont val="Tahoma"/>
            <family val="2"/>
          </rPr>
          <t>Manteniment i reposició de bens inventariables.
Amortització d'inventari d'anterior licitador.
Auditoria de seguiment de manteniment</t>
        </r>
      </text>
    </comment>
  </commentList>
</comments>
</file>

<file path=xl/comments3.xml><?xml version="1.0" encoding="utf-8"?>
<comments xmlns="http://schemas.openxmlformats.org/spreadsheetml/2006/main">
  <authors>
    <author>Ajuntament de Barcelona</author>
    <author>Ricard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Art.28.1 Conveni 30 dies naturals</t>
        </r>
      </text>
    </comment>
    <comment ref="M7" authorId="1">
      <text>
        <r>
          <rPr>
            <b/>
            <sz val="9"/>
            <color indexed="81"/>
            <rFont val="Tahoma"/>
            <family val="2"/>
          </rPr>
          <t>Art.29.K. Conveni</t>
        </r>
        <r>
          <rPr>
            <sz val="9"/>
            <color indexed="81"/>
            <rFont val="Tahoma"/>
            <family val="2"/>
          </rPr>
          <t xml:space="preserve">
4 días de libre disposición a lo largo del año</t>
        </r>
      </text>
    </comment>
    <comment ref="H13" authorId="1">
      <text>
        <r>
          <rPr>
            <sz val="9"/>
            <color indexed="81"/>
            <rFont val="Tahoma"/>
            <family val="2"/>
          </rPr>
          <t>Font. Xavi Perez (RRHH, IMSS) MAIL: 9/2/21
• El desglossament d’aquestes despeses és el següent:
o Seguretat Social a Càrrec de l’empresa: 23,60%
o Cotització per IT (mort, incapacitat i supervivència): 1,50%
o Atur: 5,50% com a tipus general, i 6,70% en cas de contractes de durada determinada
o Formació Professional: 0,60%
o Fons de Garantia Salarial (FOGASA): 0,20%
o TOTAL: 31,40%, o 32,60% en cas de contractes de durada determinada.
En aquesta forquiilla hem agafat 32,5%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Preu barqueta 0,1865 *35% dte compra majorista web garciapou</t>
        </r>
      </text>
    </comment>
    <comment ref="D58" authorId="0">
      <text>
        <r>
          <rPr>
            <sz val="9"/>
            <color indexed="81"/>
            <rFont val="Tahoma"/>
            <family val="2"/>
          </rPr>
          <t xml:space="preserve">37 barquetes setmanals * 52 setmanes * usuaris del servei
Càlcul a màxims de barquetes setmanals/anuals
</t>
        </r>
      </text>
    </comment>
    <comment ref="A64" authorId="0">
      <text>
        <r>
          <rPr>
            <b/>
            <sz val="9"/>
            <color indexed="81"/>
            <rFont val="Tahoma"/>
            <family val="2"/>
          </rPr>
          <t>52 setmanes * 25€ en productes de neteja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Preu inclou assegurança, manteniment ITV, revisions</t>
        </r>
      </text>
    </comment>
    <comment ref="C69" authorId="0">
      <text>
        <r>
          <rPr>
            <b/>
            <sz val="9"/>
            <color indexed="81"/>
            <rFont val="Tahoma"/>
            <family val="2"/>
          </rPr>
          <t>Càlcul realitzat en base a l'anterior plec on hi havia 10 furgonetes.
S'ha calculat el preu en base a que hi ha un augment del preu del renting.
Càlcul mensual per cada furgoneta frigorífica: 1.050,00€</t>
        </r>
      </text>
    </comment>
    <comment ref="C70" authorId="0">
      <text>
        <r>
          <rPr>
            <b/>
            <sz val="9"/>
            <color indexed="81"/>
            <rFont val="Tahoma"/>
            <family val="2"/>
          </rPr>
          <t>52 setmanes * 22 euros de servei neteja</t>
        </r>
      </text>
    </comment>
    <comment ref="A71" authorId="0">
      <text>
        <r>
          <rPr>
            <b/>
            <sz val="9"/>
            <color indexed="81"/>
            <rFont val="Tahoma"/>
            <family val="2"/>
          </rPr>
          <t>Reposta de vehicle cada 5 dies * 50 llitres dipòsit * 2,1 €/litre benzina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365/5 = 73
Cada 5 dies omplim depòsit de benzina
73 vegades que repostem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Km realitzats a la setmana:
20km*2 Palleja-BCN-Palleja + 15 km a Barcelona
2 serveis: dinar i sopar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0,19 €/km despesa de desplaçament 2022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Preu a internet de 49€ dividim per 4 pels anys d'amortització</t>
        </r>
      </text>
    </comment>
    <comment ref="D73" authorId="0">
      <text>
        <r>
          <rPr>
            <b/>
            <sz val="9"/>
            <color indexed="81"/>
            <rFont val="Tahoma"/>
            <family val="2"/>
          </rPr>
          <t xml:space="preserve">Any 2021, 119 usuaris que tenen microones en préstec
Estimem 125 per possible increment, any 2021 eren 119
</t>
        </r>
      </text>
    </comment>
    <comment ref="D74" authorId="0">
      <text>
        <r>
          <rPr>
            <b/>
            <sz val="9"/>
            <color indexed="81"/>
            <rFont val="Tahoma"/>
            <family val="2"/>
          </rPr>
          <t xml:space="preserve">A cada usuari: 1 manual mensual + 1 manual amb explicacions del servei
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50 usuaris * 12 mesos</t>
        </r>
      </text>
    </comment>
    <comment ref="C77" authorId="0">
      <text>
        <r>
          <rPr>
            <b/>
            <sz val="9"/>
            <color indexed="81"/>
            <rFont val="Tahoma"/>
            <family val="2"/>
          </rPr>
          <t xml:space="preserve">1875€ en 5 anys
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 xml:space="preserve">De: Ana Oceja Fernandez [mailto:ana.oceja@eurest.es] 
Enviat: divendres, 29 d’abril de 2022 12:35
Per a: JOU CABALLERO, EVA
Tema: Coste de centralita y llamadas telefónicas
CORREU EXTERN: Si el correu electrònic que has rebut conté enllaços o documents adjunts, recorda no obrir-los ni descarregar-los, llevat que confiïs en la persona remitent del missatge i que el seu contingut és segur.
.
Hola Eva,
Adjunto estos datos, nos falta la consulta sobre el seguro de responsabilidad civil y el equipamiento de cocina, en cuanto lo tenga te lo mando.
Nos vemos el martes, buen finde
Coste de instalación y mnto:      1500€/año
Coste de Llamadas:  para 2021
MES COSTE
ENERO 148,98 €
FEBRERO 57,08 €
MARZO 126,22 €
ABRIL 227,11 €
MAYO 255,10 €
JUNIO 330,00 €
JULIO 370,00 €
AGOSTO 411,35 €
SEPTIEMBRE 603,02 €
OCTUBRE 702,26 €
NOVIEMBRE 366,88 €
DICIEMBRE 297,04 €
TOTAL 3.895,05 €
Horario de atención al cliente: 
Lunes a viernes de 8:00 a 20:00
Sábados y festivos de 8:00 a 16:00
Los importes son sin IVA
Los meses de junio y julio son estimados, no disponemos de esa informacion.
Ana Oceja Fernández
National Operations Manager VITArest
Calle Pinar de San José, 98 – 28054 Madrid
Compass Group Spain
Phone no +34 91 542 53 39 (ext. 1193)
Mobile Phone. +34 677 57 94 21
E-mail : ana.oceja@eurest.es
</t>
        </r>
      </text>
    </comment>
    <comment ref="C79" authorId="0">
      <text>
        <r>
          <rPr>
            <b/>
            <sz val="9"/>
            <color indexed="81"/>
            <rFont val="Tahoma"/>
            <family val="2"/>
          </rPr>
          <t>Preu mensual de 
software de gestió per usuari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>Numero d'usuaris</t>
        </r>
      </text>
    </comment>
    <comment ref="D80" authorId="0">
      <text>
        <r>
          <rPr>
            <b/>
            <sz val="9"/>
            <color indexed="81"/>
            <rFont val="Tahoma"/>
            <family val="2"/>
          </rPr>
          <t>1 codi QR per usuari del servei</t>
        </r>
      </text>
    </comment>
    <comment ref="A83" authorId="0">
      <text>
        <r>
          <rPr>
            <sz val="9"/>
            <color indexed="81"/>
            <rFont val="Tahoma"/>
            <family val="2"/>
          </rPr>
          <t xml:space="preserve">
Auditoria tècnica
</t>
        </r>
      </text>
    </comment>
    <comment ref="A84" authorId="0">
      <text>
        <r>
          <rPr>
            <b/>
            <sz val="9"/>
            <color indexed="81"/>
            <rFont val="Tahoma"/>
            <family val="2"/>
          </rPr>
          <t>Auditoria de satisfacció del Usuari.</t>
        </r>
      </text>
    </comment>
    <comment ref="A85" authorId="0">
      <text>
        <r>
          <rPr>
            <b/>
            <sz val="9"/>
            <color indexed="81"/>
            <rFont val="Tahoma"/>
            <family val="2"/>
          </rPr>
          <t>Manteniment i reposició de bens inventariables.
Amortització d'inventari d'anterior licitador.
Auditoria de seguiment de manteniment</t>
        </r>
      </text>
    </comment>
  </commentList>
</comments>
</file>

<file path=xl/comments4.xml><?xml version="1.0" encoding="utf-8"?>
<comments xmlns="http://schemas.openxmlformats.org/spreadsheetml/2006/main">
  <authors>
    <author>Ajuntament de Barcelona</author>
    <author>Ricard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Art.28.1 Conveni 30 dies naturals</t>
        </r>
      </text>
    </comment>
    <comment ref="M7" authorId="1">
      <text>
        <r>
          <rPr>
            <b/>
            <sz val="9"/>
            <color indexed="81"/>
            <rFont val="Tahoma"/>
            <family val="2"/>
          </rPr>
          <t>Art.29.K. Conveni</t>
        </r>
        <r>
          <rPr>
            <sz val="9"/>
            <color indexed="81"/>
            <rFont val="Tahoma"/>
            <family val="2"/>
          </rPr>
          <t xml:space="preserve">
4 días de libre disposición a lo largo del año</t>
        </r>
      </text>
    </comment>
    <comment ref="H13" authorId="1">
      <text>
        <r>
          <rPr>
            <sz val="9"/>
            <color indexed="81"/>
            <rFont val="Tahoma"/>
            <family val="2"/>
          </rPr>
          <t>Font. Xavi Perez (RRHH, IMSS) MAIL: 9/2/21
• El desglossament d’aquestes despeses és el següent:
o Seguretat Social a Càrrec de l’empresa: 23,60%
o Cotització per IT (mort, incapacitat i supervivència): 1,50%
o Atur: 5,50% com a tipus general, i 6,70% en cas de contractes de durada determinada
o Formació Professional: 0,60%
o Fons de Garantia Salarial (FOGASA): 0,20%
o TOTAL: 31,40%, o 32,60% en cas de contractes de durada determinada.
En aquesta forquiilla hem agafat 32,5%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Preu barqueta 0,1865 *35% dte compra majorista web garciapou actualitzat cada any per IPC</t>
        </r>
      </text>
    </comment>
    <comment ref="D58" authorId="0">
      <text>
        <r>
          <rPr>
            <sz val="9"/>
            <color indexed="81"/>
            <rFont val="Tahoma"/>
            <family val="2"/>
          </rPr>
          <t xml:space="preserve">37 barquetes setmanals * 52 setmanes * usuaris del servei
Càlcul a màxims de barquetes setmanals/anuals
</t>
        </r>
      </text>
    </comment>
    <comment ref="A64" authorId="0">
      <text>
        <r>
          <rPr>
            <b/>
            <sz val="9"/>
            <color indexed="81"/>
            <rFont val="Tahoma"/>
            <family val="2"/>
          </rPr>
          <t>52 setmanes * 25€ en productes de neteja actualitzat cada any per IPC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Preu inclou assegurança, manteniment ITV, revisions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365/5 = 73
Cada 5 dies omplim depòsit de benzina
73 vegades que repostem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Km realitzats a la setmana:
20km*2 Palleja-BCN-Palleja + 15 km a Barcelona
2 serveis: dinar i sopar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0,19 €/km despesa de desplaçament 2022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Km realitzats a la setmana:
Diaris: 20km*2 Palleja-BCN-Palleja + 15 km a Barcelona = 55km
Hi ha mitjana de 80 usuaris nous al mes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Preu a internet de 49€ dividim per 4 pels anys d'amortització</t>
        </r>
      </text>
    </comment>
    <comment ref="D73" authorId="0">
      <text>
        <r>
          <rPr>
            <b/>
            <sz val="9"/>
            <color indexed="81"/>
            <rFont val="Tahoma"/>
            <family val="2"/>
          </rPr>
          <t xml:space="preserve">Any 2021, 119 usuaris que tenen microones en préstec
Estimem 125 per possible increment, any 2021 eren 119
</t>
        </r>
      </text>
    </comment>
    <comment ref="D74" authorId="0">
      <text>
        <r>
          <rPr>
            <b/>
            <sz val="9"/>
            <color indexed="81"/>
            <rFont val="Tahoma"/>
            <family val="2"/>
          </rPr>
          <t xml:space="preserve">A cada usuari: 1 manual mensual + 1 manual amb explicacions del servei
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50 usuaris * 12 mesos</t>
        </r>
      </text>
    </comment>
    <comment ref="C77" authorId="0">
      <text>
        <r>
          <rPr>
            <b/>
            <sz val="9"/>
            <color indexed="81"/>
            <rFont val="Tahoma"/>
            <family val="2"/>
          </rPr>
          <t xml:space="preserve">1875€ en 5 anys
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 xml:space="preserve">De: Ana Oceja Fernandez [mailto:ana.oceja@eurest.es] 
Enviat: divendres, 29 d’abril de 2022 12:35
Per a: JOU CABALLERO, EVA
Tema: Coste de centralita y llamadas telefónicas
CORREU EXTERN: Si el correu electrònic que has rebut conté enllaços o documents adjunts, recorda no obrir-los ni descarregar-los, llevat que confiïs en la persona remitent del missatge i que el seu contingut és segur.
.
Hola Eva,
Adjunto estos datos, nos falta la consulta sobre el seguro de responsabilidad civil y el equipamiento de cocina, en cuanto lo tenga te lo mando.
Nos vemos el martes, buen finde
Coste de instalación y mnto:      1500€/año
Coste de Llamadas:  para 2021
MES COSTE
ENERO 148,98 €
FEBRERO 57,08 €
MARZO 126,22 €
ABRIL 227,11 €
MAYO 255,10 €
JUNIO 330,00 €
JULIO 370,00 €
AGOSTO 411,35 €
SEPTIEMBRE 603,02 €
OCTUBRE 702,26 €
NOVIEMBRE 366,88 €
DICIEMBRE 297,04 €
TOTAL 3.895,05 €
Horario de atención al cliente: 
Lunes a viernes de 8:00 a 20:00
Sábados y festivos de 8:00 a 16:00
Los importes son sin IVA
Los meses de junio y julio son estimados, no disponemos de esa informacion.
Ana Oceja Fernández
National Operations Manager VITArest
Calle Pinar de San José, 98 – 28054 Madrid
Compass Group Spain
Phone no +34 91 542 53 39 (ext. 1193)
Mobile Phone. +34 677 57 94 21
E-mail : ana.oceja@eurest.es
</t>
        </r>
      </text>
    </comment>
    <comment ref="C79" authorId="0">
      <text>
        <r>
          <rPr>
            <b/>
            <sz val="9"/>
            <color indexed="81"/>
            <rFont val="Tahoma"/>
            <family val="2"/>
          </rPr>
          <t>Preu mensual de 
software de gestió per usuari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>Numero d'usuaris</t>
        </r>
      </text>
    </comment>
    <comment ref="D80" authorId="0">
      <text>
        <r>
          <rPr>
            <b/>
            <sz val="9"/>
            <color indexed="81"/>
            <rFont val="Tahoma"/>
            <family val="2"/>
          </rPr>
          <t>1 codi QR per usuari del servei</t>
        </r>
      </text>
    </comment>
    <comment ref="A83" authorId="0">
      <text>
        <r>
          <rPr>
            <sz val="9"/>
            <color indexed="81"/>
            <rFont val="Tahoma"/>
            <family val="2"/>
          </rPr>
          <t xml:space="preserve">
Auditoria tècnica
</t>
        </r>
      </text>
    </comment>
    <comment ref="A84" authorId="0">
      <text>
        <r>
          <rPr>
            <b/>
            <sz val="9"/>
            <color indexed="81"/>
            <rFont val="Tahoma"/>
            <family val="2"/>
          </rPr>
          <t>Auditoria de satisfacció del Usuari.</t>
        </r>
      </text>
    </comment>
    <comment ref="A85" authorId="0">
      <text>
        <r>
          <rPr>
            <b/>
            <sz val="9"/>
            <color indexed="81"/>
            <rFont val="Tahoma"/>
            <family val="2"/>
          </rPr>
          <t>Manteniment i reposició de bens inventariables.
Amortització d'inventari d'anterior licitador.
Auditoria de seguiment de manteniment</t>
        </r>
      </text>
    </comment>
  </commentList>
</comments>
</file>

<file path=xl/comments5.xml><?xml version="1.0" encoding="utf-8"?>
<comments xmlns="http://schemas.openxmlformats.org/spreadsheetml/2006/main">
  <authors>
    <author>Ajuntament de Barcelona</author>
    <author>Ricard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Art.28.1 Conveni 30 dies naturals</t>
        </r>
      </text>
    </comment>
    <comment ref="M7" authorId="1">
      <text>
        <r>
          <rPr>
            <b/>
            <sz val="9"/>
            <color indexed="81"/>
            <rFont val="Tahoma"/>
            <family val="2"/>
          </rPr>
          <t>Art.29.K. Conveni</t>
        </r>
        <r>
          <rPr>
            <sz val="9"/>
            <color indexed="81"/>
            <rFont val="Tahoma"/>
            <family val="2"/>
          </rPr>
          <t xml:space="preserve">
4 días de libre disposición a lo largo del año</t>
        </r>
      </text>
    </comment>
    <comment ref="H13" authorId="1">
      <text>
        <r>
          <rPr>
            <sz val="9"/>
            <color indexed="81"/>
            <rFont val="Tahoma"/>
            <family val="2"/>
          </rPr>
          <t>Font. Xavi Perez (RRHH, IMSS) MAIL: 9/2/21
• El desglossament d’aquestes despeses és el següent:
o Seguretat Social a Càrrec de l’empresa: 23,60%
o Cotització per IT (mort, incapacitat i supervivència): 1,50%
o Atur: 5,50% com a tipus general, i 6,70% en cas de contractes de durada determinada
o Formació Professional: 0,60%
o Fons de Garantia Salarial (FOGASA): 0,20%
o TOTAL: 31,40%, o 32,60% en cas de contractes de durada determinada.
En aquesta forquiilla hem agafat 32,5%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Preu barqueta 0,1865 *35% dte compra majorista web garciapou actualitzat cada any per IPC</t>
        </r>
      </text>
    </comment>
    <comment ref="D58" authorId="0">
      <text>
        <r>
          <rPr>
            <sz val="9"/>
            <color indexed="81"/>
            <rFont val="Tahoma"/>
            <family val="2"/>
          </rPr>
          <t xml:space="preserve">37 barquetes setmanals * 52 setmanes * usuaris del servei
Càlcul a màxims de barquetes setmanals/anuals
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Preu inclou assegurança, manteniment ITV, revisions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365/5 = 73
Cada 5 dies omplim depòsit de benzina
73 vegades que repostem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Km realitzats a la setmana:
20km*2 Palleja-BCN-Palleja + 15 km a Barcelona
2 serveis: dinar i sopar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0,19 €/km despesa de desplaçament 2022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Km realitzats a la setmana:
Diaris: 20km*2 Palleja-BCN-Palleja + 15 km a Barcelona = 55km
Hi ha mitjana de 80 usuaris nous al mes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Preu a internet de 49€ dividim per 4 pels anys d'amortització</t>
        </r>
      </text>
    </comment>
    <comment ref="D73" authorId="0">
      <text>
        <r>
          <rPr>
            <b/>
            <sz val="9"/>
            <color indexed="81"/>
            <rFont val="Tahoma"/>
            <family val="2"/>
          </rPr>
          <t xml:space="preserve">Any 2021, 119 usuaris que tenen microones en préstec
Estimem 125 per possible increment, any 2021 eren 119
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50 usuaris * 12 mesos</t>
        </r>
      </text>
    </comment>
    <comment ref="C77" authorId="0">
      <text>
        <r>
          <rPr>
            <b/>
            <sz val="9"/>
            <color indexed="81"/>
            <rFont val="Tahoma"/>
            <family val="2"/>
          </rPr>
          <t xml:space="preserve">1875€ en 5 anys
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 xml:space="preserve">De: Ana Oceja Fernandez [mailto:ana.oceja@eurest.es] 
Enviat: divendres, 29 d’abril de 2022 12:35
Per a: JOU CABALLERO, EVA
Tema: Coste de centralita y llamadas telefónicas
CORREU EXTERN: Si el correu electrònic que has rebut conté enllaços o documents adjunts, recorda no obrir-los ni descarregar-los, llevat que confiïs en la persona remitent del missatge i que el seu contingut és segur.
.
Hola Eva,
Adjunto estos datos, nos falta la consulta sobre el seguro de responsabilidad civil y el equipamiento de cocina, en cuanto lo tenga te lo mando.
Nos vemos el martes, buen finde
Coste de instalación y mnto:      1500€/año
Coste de Llamadas:  para 2021
MES COSTE
ENERO 148,98 €
FEBRERO 57,08 €
MARZO 126,22 €
ABRIL 227,11 €
MAYO 255,10 €
JUNIO 330,00 €
JULIO 370,00 €
AGOSTO 411,35 €
SEPTIEMBRE 603,02 €
OCTUBRE 702,26 €
NOVIEMBRE 366,88 €
DICIEMBRE 297,04 €
TOTAL 3.895,05 €
Horario de atención al cliente: 
Lunes a viernes de 8:00 a 20:00
Sábados y festivos de 8:00 a 16:00
Los importes son sin IVA
Los meses de junio y julio son estimados, no disponemos de esa informacion.
Ana Oceja Fernández
National Operations Manager VITArest
Calle Pinar de San José, 98 – 28054 Madrid
Compass Group Spain
Phone no +34 91 542 53 39 (ext. 1193)
Mobile Phone. +34 677 57 94 21
E-mail : ana.oceja@eurest.es
</t>
        </r>
      </text>
    </comment>
    <comment ref="C79" authorId="0">
      <text>
        <r>
          <rPr>
            <b/>
            <sz val="9"/>
            <color indexed="81"/>
            <rFont val="Tahoma"/>
            <family val="2"/>
          </rPr>
          <t>Preu mensual de 
software de gestió per usuari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>Numero d'usuaris</t>
        </r>
      </text>
    </comment>
    <comment ref="D80" authorId="0">
      <text>
        <r>
          <rPr>
            <b/>
            <sz val="9"/>
            <color indexed="81"/>
            <rFont val="Tahoma"/>
            <family val="2"/>
          </rPr>
          <t>1 codi QR per usuari del servei</t>
        </r>
      </text>
    </comment>
    <comment ref="A83" authorId="0">
      <text>
        <r>
          <rPr>
            <sz val="9"/>
            <color indexed="81"/>
            <rFont val="Tahoma"/>
            <family val="2"/>
          </rPr>
          <t xml:space="preserve">
Auditoria tècnica
</t>
        </r>
      </text>
    </comment>
    <comment ref="A84" authorId="0">
      <text>
        <r>
          <rPr>
            <b/>
            <sz val="9"/>
            <color indexed="81"/>
            <rFont val="Tahoma"/>
            <family val="2"/>
          </rPr>
          <t>Auditoria de satisfacció del Usuari.</t>
        </r>
      </text>
    </comment>
    <comment ref="A85" authorId="0">
      <text>
        <r>
          <rPr>
            <b/>
            <sz val="9"/>
            <color indexed="81"/>
            <rFont val="Tahoma"/>
            <family val="2"/>
          </rPr>
          <t>Manteniment i reposició de bens inventariables.
Amortització d'inventari d'anterior licitador.
Auditoria de seguiment de manteniment</t>
        </r>
      </text>
    </comment>
  </commentList>
</comments>
</file>

<file path=xl/comments6.xml><?xml version="1.0" encoding="utf-8"?>
<comments xmlns="http://schemas.openxmlformats.org/spreadsheetml/2006/main">
  <authors>
    <author>Ajuntament de Barcelona</author>
    <author>Ricard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Art.28.1 Conveni 30 dies naturals</t>
        </r>
      </text>
    </comment>
    <comment ref="M7" authorId="1">
      <text>
        <r>
          <rPr>
            <b/>
            <sz val="9"/>
            <color indexed="81"/>
            <rFont val="Tahoma"/>
            <family val="2"/>
          </rPr>
          <t>Art.29.K. Conveni</t>
        </r>
        <r>
          <rPr>
            <sz val="9"/>
            <color indexed="81"/>
            <rFont val="Tahoma"/>
            <family val="2"/>
          </rPr>
          <t xml:space="preserve">
4 días de libre disposición a lo largo del año</t>
        </r>
      </text>
    </comment>
    <comment ref="H13" authorId="1">
      <text>
        <r>
          <rPr>
            <sz val="9"/>
            <color indexed="81"/>
            <rFont val="Tahoma"/>
            <family val="2"/>
          </rPr>
          <t>Font. Xavi Perez (RRHH, IMSS) MAIL: 9/2/21
• El desglossament d’aquestes despeses és el següent:
o Seguretat Social a Càrrec de l’empresa: 23,60%
o Cotització per IT (mort, incapacitat i supervivència): 1,50%
o Atur: 5,50% com a tipus general, i 6,70% en cas de contractes de durada determinada
o Formació Professional: 0,60%
o Fons de Garantia Salarial (FOGASA): 0,20%
o TOTAL: 31,40%, o 32,60% en cas de contractes de durada determinada.
En aquesta forquiilla hem agafat 32,5%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Preu barqueta 0,1865 *35% dte compra majorista web garciapou actualitzat cada any per IPC</t>
        </r>
      </text>
    </comment>
    <comment ref="D58" authorId="0">
      <text>
        <r>
          <rPr>
            <sz val="9"/>
            <color indexed="81"/>
            <rFont val="Tahoma"/>
            <family val="2"/>
          </rPr>
          <t xml:space="preserve">37 barquetes setmanals * 52 setmanes * usuaris del servei
Càlcul a màxims de barquetes setmanals/anuals
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Preu inclou assegurança, manteniment ITV, revisions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365/5 = 73
Cada 5 dies omplim depòsit de benzina
73 vegades que repostem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Km realitzats a la setmana:
20km*2 Palleja-BCN-Palleja + 15 km a Barcelona
2 serveis: dinar i sopar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0,19 €/km despesa de desplaçament 2022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Km realitzats a la setmana:
Diaris: 20km*2 Palleja-BCN-Palleja + 15 km a Barcelona = 55km
Hi ha mitjana de 80 usuaris nous al mes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Preu a internet de 49€ dividim per 4 pels anys d'amortització</t>
        </r>
      </text>
    </comment>
    <comment ref="D73" authorId="0">
      <text>
        <r>
          <rPr>
            <b/>
            <sz val="9"/>
            <color indexed="81"/>
            <rFont val="Tahoma"/>
            <family val="2"/>
          </rPr>
          <t xml:space="preserve">Any 2021, 119 usuaris que tenen microones en préstec
Estimem 125 per possible increment, any 2021 eren 119
</t>
        </r>
      </text>
    </comment>
    <comment ref="D74" authorId="0">
      <text>
        <r>
          <rPr>
            <b/>
            <sz val="9"/>
            <color indexed="81"/>
            <rFont val="Tahoma"/>
            <family val="2"/>
          </rPr>
          <t>A cada usuari: 1 manual mensual + 1 manual amb explicacions del servei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50 usuaris * 12 mesos</t>
        </r>
      </text>
    </comment>
    <comment ref="C77" authorId="0">
      <text>
        <r>
          <rPr>
            <b/>
            <sz val="9"/>
            <color indexed="81"/>
            <rFont val="Tahoma"/>
            <family val="2"/>
          </rPr>
          <t xml:space="preserve">1875€ en 5 anys
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>Numero d'usuaris</t>
        </r>
      </text>
    </comment>
    <comment ref="D80" authorId="0">
      <text>
        <r>
          <rPr>
            <b/>
            <sz val="9"/>
            <color indexed="81"/>
            <rFont val="Tahoma"/>
            <family val="2"/>
          </rPr>
          <t>1 codi QR per usuari del servei</t>
        </r>
      </text>
    </comment>
    <comment ref="A83" authorId="0">
      <text>
        <r>
          <rPr>
            <sz val="9"/>
            <color indexed="81"/>
            <rFont val="Tahoma"/>
            <family val="2"/>
          </rPr>
          <t xml:space="preserve">
Auditoria tècnica
</t>
        </r>
      </text>
    </comment>
    <comment ref="A84" authorId="0">
      <text>
        <r>
          <rPr>
            <b/>
            <sz val="9"/>
            <color indexed="81"/>
            <rFont val="Tahoma"/>
            <family val="2"/>
          </rPr>
          <t>Auditoria de satisfacció del Usuari.</t>
        </r>
      </text>
    </comment>
    <comment ref="A85" authorId="0">
      <text>
        <r>
          <rPr>
            <b/>
            <sz val="9"/>
            <color indexed="81"/>
            <rFont val="Tahoma"/>
            <family val="2"/>
          </rPr>
          <t>Manteniment i reposició de bens inventariables.
Amortització d'inventari d'anterior licitador.
Auditoria de seguiment de manteniment</t>
        </r>
      </text>
    </comment>
  </commentList>
</comments>
</file>

<file path=xl/comments7.xml><?xml version="1.0" encoding="utf-8"?>
<comments xmlns="http://schemas.openxmlformats.org/spreadsheetml/2006/main">
  <authors>
    <author>Ajuntament de Barcelona</author>
    <author>Ricard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Art.28.1 Conveni 30 dies naturals</t>
        </r>
      </text>
    </comment>
    <comment ref="M7" authorId="1">
      <text>
        <r>
          <rPr>
            <b/>
            <sz val="9"/>
            <color indexed="81"/>
            <rFont val="Tahoma"/>
            <family val="2"/>
          </rPr>
          <t>Art.29.K. Conveni</t>
        </r>
        <r>
          <rPr>
            <sz val="9"/>
            <color indexed="81"/>
            <rFont val="Tahoma"/>
            <family val="2"/>
          </rPr>
          <t xml:space="preserve">
4 días de libre disposición a lo largo del año</t>
        </r>
      </text>
    </comment>
    <comment ref="H13" authorId="1">
      <text>
        <r>
          <rPr>
            <sz val="9"/>
            <color indexed="81"/>
            <rFont val="Tahoma"/>
            <family val="2"/>
          </rPr>
          <t>Font. Xavi Perez (RRHH, IMSS) MAIL: 9/2/21
• El desglossament d’aquestes despeses és el següent:
o Seguretat Social a Càrrec de l’empresa: 23,60%
o Cotització per IT (mort, incapacitat i supervivència): 1,50%
o Atur: 5,50% com a tipus general, i 6,70% en cas de contractes de durada determinada
o Formació Professional: 0,60%
o Fons de Garantia Salarial (FOGASA): 0,20%
o TOTAL: 31,40%, o 32,60% en cas de contractes de durada determinada.
En aquesta forquiilla hem agafat 32,5%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Preu barqueta 0,1865 *35% dte compra majorista web garciapou actualitzat cada any per IPC</t>
        </r>
      </text>
    </comment>
    <comment ref="D58" authorId="0">
      <text>
        <r>
          <rPr>
            <sz val="9"/>
            <color indexed="81"/>
            <rFont val="Tahoma"/>
            <family val="2"/>
          </rPr>
          <t xml:space="preserve">37 barquetes setmanals * 52 setmanes * usuaris del servei
Càlcul a màxims de barquetes setmanals/anuals
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Preu inclou assegurança, manteniment ITV, revisions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365/5 = 73
Cada 5 dies omplim depòsit de benzina
73 vegades que repostem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Km realitzats a la setmana:
20km*2 Palleja-BCN-Palleja + 15 km a Barcelona
2 serveis: dinar i sopar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0,19 €/km despesa de desplaçament 2022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Km realitzats a la setmana:
Diaris: 20km*2 Palleja-BCN-Palleja + 15 km a Barcelona = 55km
Hi ha mitjana de 80 usuaris nous al mes</t>
        </r>
      </text>
    </comment>
    <comment ref="C73" authorId="0">
      <text>
        <r>
          <rPr>
            <b/>
            <sz val="9"/>
            <color indexed="81"/>
            <rFont val="Tahoma"/>
            <family val="2"/>
          </rPr>
          <t>Preu a internet de 49€ dividim per 4 pels anys d'amortització</t>
        </r>
      </text>
    </comment>
    <comment ref="D73" authorId="0">
      <text>
        <r>
          <rPr>
            <b/>
            <sz val="9"/>
            <color indexed="81"/>
            <rFont val="Tahoma"/>
            <family val="2"/>
          </rPr>
          <t xml:space="preserve">Any 2021, 119 usuaris que tenen microones en préstec
Estimem 125 per possible increment, any 2021 eren 119
</t>
        </r>
      </text>
    </comment>
    <comment ref="D74" authorId="0">
      <text>
        <r>
          <rPr>
            <b/>
            <sz val="9"/>
            <color indexed="81"/>
            <rFont val="Tahoma"/>
            <family val="2"/>
          </rPr>
          <t>A cada usuari: 1 manual mensual + 1 manual amb explicacions del servei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50 usuaris * 12 mesos</t>
        </r>
      </text>
    </comment>
    <comment ref="C77" authorId="0">
      <text>
        <r>
          <rPr>
            <b/>
            <sz val="9"/>
            <color indexed="81"/>
            <rFont val="Tahoma"/>
            <family val="2"/>
          </rPr>
          <t xml:space="preserve">1875€ en 5 anys
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>Numero d'usuaris</t>
        </r>
      </text>
    </comment>
    <comment ref="D80" authorId="0">
      <text>
        <r>
          <rPr>
            <b/>
            <sz val="9"/>
            <color indexed="81"/>
            <rFont val="Tahoma"/>
            <family val="2"/>
          </rPr>
          <t>1 codi QR per usuari del servei</t>
        </r>
      </text>
    </comment>
    <comment ref="A83" authorId="0">
      <text>
        <r>
          <rPr>
            <sz val="9"/>
            <color indexed="81"/>
            <rFont val="Tahoma"/>
            <family val="2"/>
          </rPr>
          <t xml:space="preserve">
Auditoria tècnica
</t>
        </r>
      </text>
    </comment>
    <comment ref="A84" authorId="0">
      <text>
        <r>
          <rPr>
            <b/>
            <sz val="9"/>
            <color indexed="81"/>
            <rFont val="Tahoma"/>
            <family val="2"/>
          </rPr>
          <t>Auditoria de satisfacció del Usuari.</t>
        </r>
      </text>
    </comment>
    <comment ref="A85" authorId="0">
      <text>
        <r>
          <rPr>
            <b/>
            <sz val="9"/>
            <color indexed="81"/>
            <rFont val="Tahoma"/>
            <family val="2"/>
          </rPr>
          <t>Manteniment i reposició de bens inventariables.
Amortització d'inventari d'anterior licitador.
Auditoria de seguiment de manteniment</t>
        </r>
      </text>
    </comment>
  </commentList>
</comments>
</file>

<file path=xl/comments8.xml><?xml version="1.0" encoding="utf-8"?>
<comments xmlns="http://schemas.openxmlformats.org/spreadsheetml/2006/main">
  <authors>
    <author>Ajuntament de Barcelona</author>
  </authors>
  <commentList>
    <comment ref="H40" authorId="0">
      <text>
        <r>
          <rPr>
            <b/>
            <sz val="9"/>
            <color indexed="81"/>
            <rFont val="Tahoma"/>
            <family val="2"/>
          </rPr>
          <t xml:space="preserve">Ajuntament de Barcelona: </t>
        </r>
        <r>
          <rPr>
            <sz val="9"/>
            <color indexed="81"/>
            <rFont val="Tahoma"/>
            <family val="2"/>
          </rPr>
          <t xml:space="preserve">Escolliu el tipus d'IVA aplicable
</t>
        </r>
      </text>
    </comment>
  </commentList>
</comments>
</file>

<file path=xl/sharedStrings.xml><?xml version="1.0" encoding="utf-8"?>
<sst xmlns="http://schemas.openxmlformats.org/spreadsheetml/2006/main" count="1555" uniqueCount="354">
  <si>
    <t>NOMBRE</t>
  </si>
  <si>
    <t>Fecha de antiguedad</t>
  </si>
  <si>
    <t>Contrato</t>
  </si>
  <si>
    <t>Horas semanales</t>
  </si>
  <si>
    <t>Porcentaje jornada</t>
  </si>
  <si>
    <t>Categoría</t>
  </si>
  <si>
    <t>Convenio</t>
  </si>
  <si>
    <t>SBA</t>
  </si>
  <si>
    <t>CPM</t>
  </si>
  <si>
    <t>ADMINISTRATIVO/A</t>
  </si>
  <si>
    <t>CE Rest Colect</t>
  </si>
  <si>
    <t>DCP</t>
  </si>
  <si>
    <t>COK</t>
  </si>
  <si>
    <t>HBS</t>
  </si>
  <si>
    <t>SSL</t>
  </si>
  <si>
    <t>LIP</t>
  </si>
  <si>
    <t>BAM</t>
  </si>
  <si>
    <t>ZCJ</t>
  </si>
  <si>
    <t>GMM</t>
  </si>
  <si>
    <t>RCM</t>
  </si>
  <si>
    <t>SGO</t>
  </si>
  <si>
    <t>CONDUCTOR</t>
  </si>
  <si>
    <t>GMJ</t>
  </si>
  <si>
    <t>VCC</t>
  </si>
  <si>
    <t>BVD</t>
  </si>
  <si>
    <t>OLA</t>
  </si>
  <si>
    <t>PMJ</t>
  </si>
  <si>
    <t>GHJ</t>
  </si>
  <si>
    <t>PBJ</t>
  </si>
  <si>
    <t>MMH</t>
  </si>
  <si>
    <t>ADI</t>
  </si>
  <si>
    <t>TOR</t>
  </si>
  <si>
    <t>MGR</t>
  </si>
  <si>
    <t>NCF</t>
  </si>
  <si>
    <t>SDD</t>
  </si>
  <si>
    <t>RTE</t>
  </si>
  <si>
    <t>LDA</t>
  </si>
  <si>
    <t>VSG</t>
  </si>
  <si>
    <t>GBA</t>
  </si>
  <si>
    <t>LLR</t>
  </si>
  <si>
    <t>ELM</t>
  </si>
  <si>
    <t>ENCARGADO SECCION</t>
  </si>
  <si>
    <t>BBC</t>
  </si>
  <si>
    <t>MOZO</t>
  </si>
  <si>
    <t>AUX.COLECTIVIDADES</t>
  </si>
  <si>
    <t>AUX.SERV.LIMP</t>
  </si>
  <si>
    <t>COCINERO (SC)</t>
  </si>
  <si>
    <t>DIETISTA</t>
  </si>
  <si>
    <t>ENCARGADO DE SECCIÓN</t>
  </si>
  <si>
    <t>JEFE DE PARTIDA</t>
  </si>
  <si>
    <t>TOTAL</t>
  </si>
  <si>
    <t>AUX. ADMTVO./A.</t>
  </si>
  <si>
    <t>Mitjana SBA/treballador per categoria</t>
  </si>
  <si>
    <t>CUENTA DE EXPLOTACIÓN DEL SERVICIO</t>
  </si>
  <si>
    <t>PERSONAL DE PRODUCCIÓN ASOCIADO AL SERVICIO</t>
  </si>
  <si>
    <t>COCINA</t>
  </si>
  <si>
    <t>AUXILIAR DE COLECTIVIDADES</t>
  </si>
  <si>
    <t>PERSONAL DE DISTRIBUCIÓN DEL SERVICIO</t>
  </si>
  <si>
    <t>CONDUCTORES</t>
  </si>
  <si>
    <t>PERSONAL DE PREPARACIÓN DE RUTAS (PICKING)</t>
  </si>
  <si>
    <t>PERSONAL DE COORDINACIÓN DEL SERVICIO</t>
  </si>
  <si>
    <t>SUPERVISIÓN Y ADMINISTRACIÓN</t>
  </si>
  <si>
    <t>COSTE DE PERSONAL</t>
  </si>
  <si>
    <t>Cost Empresa</t>
  </si>
  <si>
    <t>Cost Empresa Suplència vacances</t>
  </si>
  <si>
    <t>Total 15 pagues</t>
  </si>
  <si>
    <t>Total 14 pagues</t>
  </si>
  <si>
    <t>Trienni arrodonit</t>
  </si>
  <si>
    <t>Càlcul trienni</t>
  </si>
  <si>
    <t>Cost conveni és consolidat</t>
  </si>
  <si>
    <t>SB Conveni</t>
  </si>
  <si>
    <t>Cost Empresa Suplència Vacances</t>
  </si>
  <si>
    <t>%</t>
  </si>
  <si>
    <t>SERVEI DE DISTRIBUCIÓ DELS ÀPATS</t>
  </si>
  <si>
    <t>SERVEI DE COORDINACIÓ NECESSARI</t>
  </si>
  <si>
    <t>SERVEI DE PRODUCCIÓ DIRECTE ÀPATS</t>
  </si>
  <si>
    <t>COSTOS DE PERSONAL NO ADSCRIT DIRECTAMENT AL SERVEI</t>
  </si>
  <si>
    <t>COSTOS DE PERSONAL ADSCRIT AL SERVEI DIRECTE</t>
  </si>
  <si>
    <t>Hores servei</t>
  </si>
  <si>
    <t>Empleats necessaris</t>
  </si>
  <si>
    <t>Salari Brut</t>
  </si>
  <si>
    <t>Cost empresa suplència</t>
  </si>
  <si>
    <t>TOTAL COSTOS DE PERSONAL</t>
  </si>
  <si>
    <t>DESPESES DE FUNCIONAMENT</t>
  </si>
  <si>
    <t>TOTAL COSTOS DIRECTES</t>
  </si>
  <si>
    <t>TOTAL COSTOS INDIRECTES</t>
  </si>
  <si>
    <t>TOTAL PRESSUPOST</t>
  </si>
  <si>
    <t>IVA</t>
  </si>
  <si>
    <t>PRESSUPOST PROPOSAT</t>
  </si>
  <si>
    <t>SERVEI DE CATERING A DOMICILI</t>
  </si>
  <si>
    <t>Preu unitari</t>
  </si>
  <si>
    <t>Estimació àpats anual</t>
  </si>
  <si>
    <t xml:space="preserve"> </t>
  </si>
  <si>
    <t>COST TOTAL SERVEI DE CATERING A DOMICILI</t>
  </si>
  <si>
    <t>DESPESES DE FUNCIONAMENT GENERALS NO IMPUTABLES DIRECTAMENT ALS ÀPATS</t>
  </si>
  <si>
    <t>Benzina</t>
  </si>
  <si>
    <t>Microones</t>
  </si>
  <si>
    <t>Software de gestió i APP</t>
  </si>
  <si>
    <t>Logística</t>
  </si>
  <si>
    <t>Renting vehicles frigorìfics</t>
  </si>
  <si>
    <t>Análisis higiénic sanitaris reglamentaris</t>
  </si>
  <si>
    <t>Telefonia mòbils per a supervisor i repartidors (adquisició)</t>
  </si>
  <si>
    <t>Telefonia mòbils per a supervisor i repartidors (manteniment)</t>
  </si>
  <si>
    <t>Unitats</t>
  </si>
  <si>
    <t>Total</t>
  </si>
  <si>
    <t>Neteja de vehicles</t>
  </si>
  <si>
    <t>Claus dels usuaris (gestió, còpies i magatzem)</t>
  </si>
  <si>
    <t>https://www.redkey.app/?gclid=EAIaIQobChMIwf_MqIyO9wIVmfdRCh3itAg-EAAYASAAEgL6Y_D_BwE</t>
  </si>
  <si>
    <t>https://www.ofertitas.es/orbegozo-mi2015-microondas-barato/150927/</t>
  </si>
  <si>
    <t>https://blog.pleo.io/es/cuanto-se-paga-kilometraje</t>
  </si>
  <si>
    <t>https://www.qrplanet.com/precios/</t>
  </si>
  <si>
    <t>Material no inventariable (neteja i cuina)</t>
  </si>
  <si>
    <t>% Jornada</t>
  </si>
  <si>
    <t>LA VALORACIÓ DE COSTOS S'HA FET TENIM EN COMPTE LES ÚLTIMES TAULES SALARIALS APROVADES QUE SÓN DE 2019</t>
  </si>
  <si>
    <t xml:space="preserve">SUPOSITS </t>
  </si>
  <si>
    <t>INICI PRESTACIÓ  2022 EL CONTRACTE</t>
  </si>
  <si>
    <t>4 ANUALITATS</t>
  </si>
  <si>
    <t>mitjana 2018-2021</t>
  </si>
  <si>
    <t>ANUALITAT</t>
  </si>
  <si>
    <t>Columna2</t>
  </si>
  <si>
    <t>increment</t>
  </si>
  <si>
    <t>PAGAMENT</t>
  </si>
  <si>
    <t>COST</t>
  </si>
  <si>
    <t>diferencia</t>
  </si>
  <si>
    <t>SUPOSIT increment %</t>
  </si>
  <si>
    <t>observacions</t>
  </si>
  <si>
    <t xml:space="preserve">Estimació  </t>
  </si>
  <si>
    <t>total</t>
  </si>
  <si>
    <t>ESTIMACIÓ INCREMENT IPC AGREGAT DURANT 4 ANUALITATS</t>
  </si>
  <si>
    <t xml:space="preserve">Uniformes logotipats, vestuari personal (repartidors i supervisors) </t>
  </si>
  <si>
    <t>Uniformes, vestuari personal de cuina i de neteja</t>
  </si>
  <si>
    <t>Recanvis</t>
  </si>
  <si>
    <t>https://www.solouniformes.es/</t>
  </si>
  <si>
    <t>https://www.prolaboral.com/es/</t>
  </si>
  <si>
    <t>https://www.masuniformes.com/</t>
  </si>
  <si>
    <t>Evolució estimada</t>
  </si>
  <si>
    <t>APATS</t>
  </si>
  <si>
    <t>USUARIS</t>
  </si>
  <si>
    <t>https://www.soloimprenta.es/dipticos-estandar.html#/371-tamano-10_5x21_0_dl_cerrado_/456-plazo_de_entrega-6_a_7_dias_habiles/865-impresion-todo_color_44_/317-cantidad-2000/497-tipo_de_papel-135gr_estucado_brillo</t>
  </si>
  <si>
    <t>Impressions tríptics informatius: guies i manuals pels usuaris</t>
  </si>
  <si>
    <t>Etiquetatge dels àpats (tinta impressora, tòners, etiqueta)</t>
  </si>
  <si>
    <t>Cost trucades atenció als usuaris del servei</t>
  </si>
  <si>
    <t>Cost centraleta instalació i manteniment. Línies 900</t>
  </si>
  <si>
    <t xml:space="preserve">Quantitats per al </t>
  </si>
  <si>
    <t>càlcul PBL i VEC</t>
  </si>
  <si>
    <t>COSTOS PER A L'EMPRESA</t>
  </si>
  <si>
    <t>Estimació d'àpats servits</t>
  </si>
  <si>
    <t>anualment</t>
  </si>
  <si>
    <t>Cost anual</t>
  </si>
  <si>
    <t>pressupostari</t>
  </si>
  <si>
    <t>Cost unitari</t>
  </si>
  <si>
    <t>Cost anual per</t>
  </si>
  <si>
    <t>a l'empresa</t>
  </si>
  <si>
    <t>Cost unitari per</t>
  </si>
  <si>
    <t>Desplaçament supervisor atenció a l'usuari</t>
  </si>
  <si>
    <t xml:space="preserve">Estimació de </t>
  </si>
  <si>
    <t>número d'usuaris</t>
  </si>
  <si>
    <t>DESPESES GENERALS D'ESTRUCTURA PER A LA GESTIÓ</t>
  </si>
  <si>
    <t>Km setmana</t>
  </si>
  <si>
    <t>Km anuals</t>
  </si>
  <si>
    <t>EMPADRONATS</t>
  </si>
  <si>
    <t>+65 ANYS</t>
  </si>
  <si>
    <t>% 3a edat</t>
  </si>
  <si>
    <t>% USUARIS +65</t>
  </si>
  <si>
    <t>+65 viuen sols</t>
  </si>
  <si>
    <t>%  +65 viuen sols</t>
  </si>
  <si>
    <t>Escenari alt</t>
  </si>
  <si>
    <t>Escenari baix</t>
  </si>
  <si>
    <t>%  +65 usuaris sols</t>
  </si>
  <si>
    <t>https://www.movistar.es/particulares/movil/tarifas-contrato/contrato-l</t>
  </si>
  <si>
    <t>https://www.horecazon.com/ca/safates-de-menjars-individuals/2120-safata-microondable-3-compartiments-225x175x45-cm-negre-pp-500-unitat.html</t>
  </si>
  <si>
    <t>https://www.garciadepou.com/ca/tablett-fur-mikrowelle-2-facher-367.html</t>
  </si>
  <si>
    <t>192000 en 2021</t>
  </si>
  <si>
    <t>DADES GENERALS DEL NOU CONTRACTE:</t>
  </si>
  <si>
    <t>DESCRIPCIÓ:</t>
  </si>
  <si>
    <t>INICI</t>
  </si>
  <si>
    <t>FINAL</t>
  </si>
  <si>
    <t>TOTAL PERIODE</t>
  </si>
  <si>
    <t>DURADA PERIODE INICIAL</t>
  </si>
  <si>
    <t>PRÒRROGA</t>
  </si>
  <si>
    <t>DISTRIBUCIÓ PER LOTS:</t>
  </si>
  <si>
    <t xml:space="preserve">AQUEST CÀLCUL CORRESPON A </t>
  </si>
  <si>
    <t>LOT 1</t>
  </si>
  <si>
    <t>DIES/SETMANA</t>
  </si>
  <si>
    <t>De dilluns a diumenge</t>
  </si>
  <si>
    <t>DIES / ANY / SERVEI</t>
  </si>
  <si>
    <t>CONVENI:</t>
  </si>
  <si>
    <t>HORES JORNADA:</t>
  </si>
  <si>
    <t>HORES SETMANA:</t>
  </si>
  <si>
    <t>dies any</t>
  </si>
  <si>
    <t>diss+diu</t>
  </si>
  <si>
    <t>festius</t>
  </si>
  <si>
    <t>vacances</t>
  </si>
  <si>
    <t>ll.disp</t>
  </si>
  <si>
    <t>dies treball efectiu</t>
  </si>
  <si>
    <t>DIES LABORABLES EFECTIUS:</t>
  </si>
  <si>
    <t>HORES ANY EFECTIVES:</t>
  </si>
  <si>
    <t>HORES MÀXIMES  CONVENI:</t>
  </si>
  <si>
    <t>AFECTACIÓ CONVENI</t>
  </si>
  <si>
    <t>COST ADICIONAL S.S.</t>
  </si>
  <si>
    <t xml:space="preserve">SERVEI D'ÀPATS A DOMICILI, AMB MESURES DE CONTRACTACIÓ PÚBLICA SOSTENIBLE. </t>
  </si>
  <si>
    <t>SERVEI D'ÀPATS A DOMICILI</t>
  </si>
  <si>
    <t>Convenio colectivo estatal del sector laboral de restauración colectiva para los años 2020 y 2021</t>
  </si>
  <si>
    <t>Código de Convenio n.º 99100165012016 + revisión y las tablas salariales para 2020-2021</t>
  </si>
  <si>
    <t>Xòfers</t>
  </si>
  <si>
    <t>Auxiliars rutes (picking)</t>
  </si>
  <si>
    <t>Supervisors (Cap de secció)</t>
  </si>
  <si>
    <t>Dietista</t>
  </si>
  <si>
    <t>Administratius</t>
  </si>
  <si>
    <t>Auxiliars d'administratius</t>
  </si>
  <si>
    <t>Responsable del contracte (Cap de partida)</t>
  </si>
  <si>
    <t>Provisió per increment salarial</t>
  </si>
  <si>
    <t>Provisió per absentisme</t>
  </si>
  <si>
    <t>Provisió per formació</t>
  </si>
  <si>
    <t>Provisió per riscos laborals</t>
  </si>
  <si>
    <t>Cuiners</t>
  </si>
  <si>
    <t>Ajudant de cuina</t>
  </si>
  <si>
    <t>Auxiliar de servei i neteja</t>
  </si>
  <si>
    <t>Materies primeres (aliments)</t>
  </si>
  <si>
    <t>Dinars</t>
  </si>
  <si>
    <t>Sopars</t>
  </si>
  <si>
    <t>Barquetes i elements de servei (envasos)</t>
  </si>
  <si>
    <t>Direcció, supervisió i gestió tècnica del servei d'empresa matriu, assessoraments laborals i fiscals, gestió administrativa, publicació a BOP, assegurances (responsabilitat civil i altres), inmovilitzat (mobiliari, electrodomèstics de cuina: frigorífics, forns, ...</t>
  </si>
  <si>
    <t>Marge empresarial</t>
  </si>
  <si>
    <t>3+2</t>
  </si>
  <si>
    <t>2+2</t>
  </si>
  <si>
    <t>lic</t>
  </si>
  <si>
    <t>pro</t>
  </si>
  <si>
    <t>Mitjana</t>
  </si>
  <si>
    <t>Codis QR/NFC</t>
  </si>
  <si>
    <t>AMA</t>
  </si>
  <si>
    <t>Administratiu modificació</t>
  </si>
  <si>
    <t>Cost 1 sou gratificació 2022</t>
  </si>
  <si>
    <t>Cost 1 sou gratificació 2023</t>
  </si>
  <si>
    <t>Cost 1 sou gratificació 2024</t>
  </si>
  <si>
    <t>Cost 1 sou gratificació 2025</t>
  </si>
  <si>
    <t>Cost 1 sou gratificació 2026</t>
  </si>
  <si>
    <t>Cost 1 sou gratificació 2027</t>
  </si>
  <si>
    <t>Codi</t>
  </si>
  <si>
    <t>Descripció</t>
  </si>
  <si>
    <t>Quantitat estimada</t>
  </si>
  <si>
    <t>Preu u/t Sortida</t>
  </si>
  <si>
    <t>Import sortida</t>
  </si>
  <si>
    <t>Preu u/t  Proveïdor</t>
  </si>
  <si>
    <t>Import  Proveïdor</t>
  </si>
  <si>
    <t>PREU UNITARI</t>
  </si>
  <si>
    <t>Subtotal preus unitaris</t>
  </si>
  <si>
    <t>Subtotal preus unitaris proveidor</t>
  </si>
  <si>
    <t>IMPORT:</t>
  </si>
  <si>
    <t xml:space="preserve">IMPORT:                    </t>
  </si>
  <si>
    <t>IVA (%):</t>
  </si>
  <si>
    <t>TOTAL:</t>
  </si>
  <si>
    <t xml:space="preserve">TOTAL PROVEIDOR: </t>
  </si>
  <si>
    <t>Barcelona, en la data de signatura</t>
  </si>
  <si>
    <t>Servei de dinars (àpats a domicili)</t>
  </si>
  <si>
    <t>Servei de sopars (àpats a domicili)</t>
  </si>
  <si>
    <r>
      <t>Les quantitats indicades per l’IMSS com a</t>
    </r>
    <r>
      <rPr>
        <sz val="11"/>
        <color indexed="8"/>
        <rFont val="Calibri"/>
        <family val="2"/>
      </rPr>
      <t xml:space="preserve"> preus unitaris nets determinats constitueixen la xifra màxima per sobre de la qual s'estimarà que les ofertes dels licitadors excedeixen el tipus de la licitació i, per tant, seran excloses.</t>
    </r>
  </si>
  <si>
    <t>EXP   ANNEX-4 BIS</t>
  </si>
  <si>
    <t>Provisió de reserva d'auditoria tècnica</t>
  </si>
  <si>
    <t>Provisió de reserva d'enquesta de satisfacció</t>
  </si>
  <si>
    <t>Provisió de fons de manteniment i per despeses sobrevingudes en el servei directe en domicilis</t>
  </si>
  <si>
    <t>Cost 1 sou gratificació 2028</t>
  </si>
  <si>
    <t>2024-2028</t>
  </si>
  <si>
    <t>Escenari mig evolució dàpats i usuaris de 2024-2028 al 3%</t>
  </si>
  <si>
    <t>SBA full de subrogació (40)</t>
  </si>
  <si>
    <t>SBA (43)</t>
  </si>
  <si>
    <t>LA VALORACIÓ DE COSTOS S'HA FET TENIM EN COMPTE LES ÚLTIMES TAULES SALARIALS APROVADES QUE SÓN DE 2022</t>
  </si>
  <si>
    <t>CONVENI DE RESTAURACIÓ COLECTIVA 2022</t>
  </si>
  <si>
    <t>Total 15 pagues (43)</t>
  </si>
  <si>
    <t>antic conveni</t>
  </si>
  <si>
    <t>nou conveni</t>
  </si>
  <si>
    <t>Jornada</t>
  </si>
  <si>
    <t>Parcial</t>
  </si>
  <si>
    <t>Complerta</t>
  </si>
  <si>
    <t>Dona</t>
  </si>
  <si>
    <t>Sexe</t>
  </si>
  <si>
    <t>Home</t>
  </si>
  <si>
    <t>???</t>
  </si>
  <si>
    <t>ENCARGADO SECCION supervisor</t>
  </si>
  <si>
    <t>Fecha vto contrato</t>
  </si>
  <si>
    <t>Nº  treballadors subrogació 2023</t>
  </si>
  <si>
    <t>SBA full de subrogació (34) 2023</t>
  </si>
  <si>
    <t>SBA (34)</t>
  </si>
  <si>
    <t>Total 15 pagues (34)</t>
  </si>
  <si>
    <t>https://www.boe.es/boe/dias/2022/12/14/pdfs/BOE-A-2022-21174.pdf</t>
  </si>
  <si>
    <t>Categoria professional</t>
  </si>
  <si>
    <t>Personal adscrit al servei</t>
  </si>
  <si>
    <t>Necessitat total d' hores/any</t>
  </si>
  <si>
    <t>2022 subr</t>
  </si>
  <si>
    <t>2023 subr</t>
  </si>
  <si>
    <t>2023 nou plec</t>
  </si>
  <si>
    <r>
      <t>NIV. 2 Segundo/a jefe/a de cocina, Supervisor/a, Cajero/a administrativo,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Jefe/a de sector, Jefe/a de compras, Encargado/a de explotación, Técnico/a de mantenimiento, Jefe/a de equipo, Encargado/a de 2.ª, Programador/a de informática, Secretario/a de dirección, </t>
    </r>
    <r>
      <rPr>
        <b/>
        <sz val="11"/>
        <rFont val="Calibri"/>
        <family val="2"/>
        <scheme val="minor"/>
      </rPr>
      <t>Jefe/a de sección de administración</t>
    </r>
    <r>
      <rPr>
        <sz val="11"/>
        <rFont val="Calibri"/>
        <family val="2"/>
        <scheme val="minor"/>
      </rPr>
      <t>.</t>
    </r>
    <r>
      <rPr>
        <sz val="11"/>
        <color rgb="FFFF0000"/>
        <rFont val="Calibri"/>
        <family val="2"/>
        <scheme val="minor"/>
      </rPr>
      <t xml:space="preserve"> (Encargado de sección, supervisor)</t>
    </r>
  </si>
  <si>
    <r>
      <t>NIV. 2 Segundo/a jefe/a de cocina, Supervisor/a, Cajero/a administrativo,</t>
    </r>
    <r>
      <rPr>
        <b/>
        <sz val="11"/>
        <rFont val="Calibri"/>
        <family val="2"/>
        <scheme val="minor"/>
      </rPr>
      <t xml:space="preserve"> Jefe/a de sector</t>
    </r>
    <r>
      <rPr>
        <sz val="11"/>
        <rFont val="Calibri"/>
        <family val="2"/>
        <scheme val="minor"/>
      </rPr>
      <t>, Jefe/a de compras, Encargado/a de explotación, Técnico/a de mantenimiento, Jefe/a de equipo, Encargado/a de 2.ª, Programador/a de informática, Secretario/a de dirección, Jefe/a de sección de administración.</t>
    </r>
    <r>
      <rPr>
        <sz val="11"/>
        <color rgb="FFFF0000"/>
        <rFont val="Calibri"/>
        <family val="2"/>
        <scheme val="minor"/>
      </rPr>
      <t xml:space="preserve"> (Jefe de partida)</t>
    </r>
  </si>
  <si>
    <r>
      <t xml:space="preserve">NIV. 3 Chófer 2.ª, Dependiente/a, Barman/barwoman, Camarero/a, Cocinero/a, Planchista, Cajero/a, </t>
    </r>
    <r>
      <rPr>
        <b/>
        <sz val="11"/>
        <rFont val="Calibri"/>
        <family val="2"/>
        <scheme val="minor"/>
      </rPr>
      <t>Oficial/a segundo/a contabilidad y administración</t>
    </r>
    <r>
      <rPr>
        <sz val="11"/>
        <rFont val="Calibri"/>
        <family val="2"/>
        <scheme val="minor"/>
      </rPr>
      <t>, Oficial/a mantenimiento, Operador/a informática, Dietista titulado/a con un año de experiencia acreditada, Comercial.</t>
    </r>
    <r>
      <rPr>
        <sz val="11"/>
        <color rgb="FFFF0000"/>
        <rFont val="Calibri"/>
        <family val="2"/>
        <scheme val="minor"/>
      </rPr>
      <t xml:space="preserve"> (Administrativo/a)</t>
    </r>
  </si>
  <si>
    <r>
      <t xml:space="preserve">NIV. 3 Chófer 2.ª, Dependiente/a, Barman/barwoman, Camarero/a, </t>
    </r>
    <r>
      <rPr>
        <b/>
        <sz val="11"/>
        <rFont val="Calibri"/>
        <family val="2"/>
        <scheme val="minor"/>
      </rPr>
      <t>Cocinero/a</t>
    </r>
    <r>
      <rPr>
        <sz val="11"/>
        <rFont val="Calibri"/>
        <family val="2"/>
        <scheme val="minor"/>
      </rPr>
      <t xml:space="preserve">, Planchista, Cajero/a, Oficial/a segundo/a contabilidad y administración, Oficial/a mantenimiento, Operador/a informática, Dietista titulado/a con un año de experiencia acreditada, Comercial. </t>
    </r>
    <r>
      <rPr>
        <sz val="11"/>
        <color rgb="FFFF0000"/>
        <rFont val="Calibri"/>
        <family val="2"/>
        <scheme val="minor"/>
      </rPr>
      <t>(Cocinero/a SC)</t>
    </r>
  </si>
  <si>
    <r>
      <t xml:space="preserve">NIV. 3 </t>
    </r>
    <r>
      <rPr>
        <b/>
        <sz val="11"/>
        <rFont val="Calibri"/>
        <family val="2"/>
        <scheme val="minor"/>
      </rPr>
      <t>Chófer</t>
    </r>
    <r>
      <rPr>
        <sz val="11"/>
        <rFont val="Calibri"/>
        <family val="2"/>
        <scheme val="minor"/>
      </rPr>
      <t xml:space="preserve"> 2.ª, Dependiente/a, Barman/barwoman, Camarero/a, Cocinero/a, Planchista, Cajero/a, Oficial/a segundo/a contabilidad y administración, Oficial/a mantenimiento, Operador/a informática, Dietista titulado/a con un año de experiencia acreditada, Comercial. </t>
    </r>
    <r>
      <rPr>
        <sz val="11"/>
        <color rgb="FFFF0000"/>
        <rFont val="Calibri"/>
        <family val="2"/>
        <scheme val="minor"/>
      </rPr>
      <t>(Conductor)</t>
    </r>
  </si>
  <si>
    <r>
      <t xml:space="preserve">NIV. 3 Chófer 2.ª, Dependiente/a, Barman/barwoman, Camarero/a, Cocinero/a, Planchista, Cajero/a, Oficial/a segundo/a contabilidad y administración, Oficial/a mantenimiento, Operador/a informática, </t>
    </r>
    <r>
      <rPr>
        <b/>
        <sz val="11"/>
        <rFont val="Calibri"/>
        <family val="2"/>
        <scheme val="minor"/>
      </rPr>
      <t>Dietista titulado/a con un año de experiencia acreditada</t>
    </r>
    <r>
      <rPr>
        <sz val="11"/>
        <rFont val="Calibri"/>
        <family val="2"/>
        <scheme val="minor"/>
      </rPr>
      <t xml:space="preserve">, Comercial. </t>
    </r>
    <r>
      <rPr>
        <sz val="11"/>
        <color rgb="FFFF0000"/>
        <rFont val="Calibri"/>
        <family val="2"/>
        <scheme val="minor"/>
      </rPr>
      <t>(Dietista)</t>
    </r>
  </si>
  <si>
    <r>
      <t xml:space="preserve">NIV. 4 Ayudante/a dependiente/a, Ayudante/a cocinero/a. Ayudante/a de camarero/a, </t>
    </r>
    <r>
      <rPr>
        <b/>
        <sz val="11"/>
        <rFont val="Calibri"/>
        <family val="2"/>
        <scheme val="minor"/>
      </rPr>
      <t>Auxiliar de oficina</t>
    </r>
    <r>
      <rPr>
        <sz val="11"/>
        <rFont val="Calibri"/>
        <family val="2"/>
        <scheme val="minor"/>
      </rPr>
      <t xml:space="preserve">, Ayudante/a de supervisor/a, Ayudante/a de equipo, Ayudante/a de mantenimiento, Dependiente/a de autoservicio, Ayudante/a de chófer, Dietista titulado/a sin experiencia, Auxiliar de servicios de colectividades cocina, Auxiliar de servicios de colectividades restauración, Monitor/a – cuidador. </t>
    </r>
    <r>
      <rPr>
        <sz val="11"/>
        <color rgb="FFFF0000"/>
        <rFont val="Calibri"/>
        <family val="2"/>
        <scheme val="minor"/>
      </rPr>
      <t>(Aux. admtvo/a)</t>
    </r>
  </si>
  <si>
    <r>
      <t xml:space="preserve">NIV. 4 Ayudante/a dependiente/a, Ayudante/a cocinero/a. Ayudante/a de camarero/a, Auxiliar de oficina, Ayudante/a de supervisor/a, Ayudante/a de equipo, Ayudante/a de mantenimiento, Dependiente/a de autoservicio, Ayudante/a de chófer, Dietista titulado/a sin experiencia, </t>
    </r>
    <r>
      <rPr>
        <b/>
        <sz val="11"/>
        <rFont val="Calibri"/>
        <family val="2"/>
        <scheme val="minor"/>
      </rPr>
      <t>Auxiliar de servicios de colectividades cocina, Auxiliar de servicios de colectividades restauración</t>
    </r>
    <r>
      <rPr>
        <sz val="11"/>
        <rFont val="Calibri"/>
        <family val="2"/>
        <scheme val="minor"/>
      </rPr>
      <t xml:space="preserve">, Monitor/a – cuidador. </t>
    </r>
    <r>
      <rPr>
        <sz val="11"/>
        <color rgb="FFFF0000"/>
        <rFont val="Calibri"/>
        <family val="2"/>
        <scheme val="minor"/>
      </rPr>
      <t>(Auxiliar de colectividades)</t>
    </r>
  </si>
  <si>
    <r>
      <t xml:space="preserve">NIV. 5 Marmitones, </t>
    </r>
    <r>
      <rPr>
        <b/>
        <sz val="11"/>
        <rFont val="Calibri"/>
        <family val="2"/>
        <scheme val="minor"/>
      </rPr>
      <t>Mozo/a de limpieza</t>
    </r>
    <r>
      <rPr>
        <sz val="11"/>
        <rFont val="Calibri"/>
        <family val="2"/>
        <scheme val="minor"/>
      </rPr>
      <t xml:space="preserve">, Fregador/a y limpiador/a, Mozo/a de almacén, Ayudante/a de economato, Preparador/a, Pinche mayor de 18 años, </t>
    </r>
    <r>
      <rPr>
        <b/>
        <sz val="11"/>
        <rFont val="Calibri"/>
        <family val="2"/>
        <scheme val="minor"/>
      </rPr>
      <t xml:space="preserve">Personal de limpieza. </t>
    </r>
    <r>
      <rPr>
        <sz val="11"/>
        <color rgb="FFFF0000"/>
        <rFont val="Calibri"/>
        <family val="2"/>
        <scheme val="minor"/>
      </rPr>
      <t>(Aux. Serv. Limp.)</t>
    </r>
  </si>
  <si>
    <r>
      <t xml:space="preserve">NIV. 5 </t>
    </r>
    <r>
      <rPr>
        <b/>
        <sz val="11"/>
        <rFont val="Calibri"/>
        <family val="2"/>
        <scheme val="minor"/>
      </rPr>
      <t>Marmitones,</t>
    </r>
    <r>
      <rPr>
        <sz val="11"/>
        <rFont val="Calibri"/>
        <family val="2"/>
        <scheme val="minor"/>
      </rPr>
      <t xml:space="preserve"> Mozo/a de limpieza, Fregador/a y limpiador/a, Mozo/a de almacén, Ayudante/a de economato, Preparador/a, Pinche mayor de 18 años, Personal de limpieza. </t>
    </r>
    <r>
      <rPr>
        <sz val="11"/>
        <color rgb="FFFF0000"/>
        <rFont val="Calibri"/>
        <family val="2"/>
        <scheme val="minor"/>
      </rPr>
      <t>(Mozo)</t>
    </r>
  </si>
  <si>
    <t>NIV. 1 Jefe/a cocina, Jefe/a de operaciones, Jefe/a de sala, Supervisor/a de explotaciones, Encargado/a general, Jefe/a de sector de explotaciones, Jefe/a de sector de autopistas.</t>
  </si>
  <si>
    <t>NIV. 5 BIS Trabajadores/as que accedan a su primer empleo en el sector o carezcan de experiencia profesional.</t>
  </si>
  <si>
    <t>NIV. 6 Pinche de 16 y 17 años, Aspirante administrativo/a (colectividades).</t>
  </si>
  <si>
    <t>https://www.boe.es/diario_boe/txt.php?id=BOE-A-2022-21174</t>
  </si>
  <si>
    <t>Convenio Colectivo Estatal de Restauración Colectiva (código de convenio: 99100165012016)</t>
  </si>
  <si>
    <t>Retribució salarial brut 2023 mensual</t>
  </si>
  <si>
    <t>Retribució salarial brut 2023 anual (14)</t>
  </si>
  <si>
    <t>Conveni</t>
  </si>
  <si>
    <t>Full subrogació</t>
  </si>
  <si>
    <t>Retribució salarial brut 2023</t>
  </si>
  <si>
    <t>Conveni % jornada</t>
  </si>
  <si>
    <t>SPP</t>
  </si>
  <si>
    <t>LFF</t>
  </si>
  <si>
    <t>TXF</t>
  </si>
  <si>
    <t>CSA</t>
  </si>
  <si>
    <t>SAM</t>
  </si>
  <si>
    <t>CSJ</t>
  </si>
  <si>
    <t>LDA/MMH</t>
  </si>
  <si>
    <t>Encargado de sección, supervisor</t>
  </si>
  <si>
    <t>Jefe de Partida</t>
  </si>
  <si>
    <t>Administrativo/a</t>
  </si>
  <si>
    <t>Cocinero/a</t>
  </si>
  <si>
    <t>Conductor/a</t>
  </si>
  <si>
    <t>Aux. Admtvo/a</t>
  </si>
  <si>
    <t>Aux. Colectividades</t>
  </si>
  <si>
    <t>Aux. Serv. Limp</t>
  </si>
  <si>
    <t>Mozo</t>
  </si>
  <si>
    <t>ENCARGADO DE SECCIÓN, SUPERVISOR</t>
  </si>
  <si>
    <t>Número treballadors nou plec 2023 (34)</t>
  </si>
  <si>
    <t>Código de Convenio n.º  99100165012016</t>
  </si>
  <si>
    <t>Convenio Colectivo Estatal del sector laboral de Restauración Colectiva será de aplicación con una vigencia inicial desde el 1 de julio de 2022, hasta el 31 de diciembre de 2024</t>
  </si>
  <si>
    <t>12 mesos</t>
  </si>
  <si>
    <t>10 mesos</t>
  </si>
  <si>
    <t xml:space="preserve">Nº  treballadors nou plec 2023 </t>
  </si>
  <si>
    <t>Número de treballadors 2022</t>
  </si>
  <si>
    <t>Probes de quadrament</t>
  </si>
  <si>
    <t>PREU GLOBAL</t>
  </si>
  <si>
    <t>Subtotal preu global</t>
  </si>
  <si>
    <t>Subtotal preu global proveidor</t>
  </si>
  <si>
    <t>Total preu de sortida</t>
  </si>
  <si>
    <t>Total preu proveidor</t>
  </si>
  <si>
    <t>Nota: aquest document s'ha de presentar en pdf i degudament signat pel/per la representant legal de la licitadora</t>
  </si>
  <si>
    <t>EXP   015_2400051</t>
  </si>
  <si>
    <t>Servei de suport de Traducció  presencial i mediació (Hores)</t>
  </si>
  <si>
    <t>Servei de Supott de Traducció de documents (Fulls)</t>
  </si>
  <si>
    <t>PROVISIÓ SENSE BAIXA LICITATORIA</t>
  </si>
  <si>
    <t>Provisió per despees de pintura de l'equipament</t>
  </si>
  <si>
    <t>Provisió per Auditoria limitada del Servei</t>
  </si>
  <si>
    <t>Subtotal provisions</t>
  </si>
  <si>
    <t>Subtotal provisions proveidor</t>
  </si>
  <si>
    <t>Servei de gestió del Servei d’Orientació i Atenció Social de persones en situació de Sensellarisme a la ciutat de Barcelona  (SOASS)</t>
  </si>
  <si>
    <r>
      <t>Les quantitats indicades per l’IMSS com a preu global net (3.007.033,18 €</t>
    </r>
    <r>
      <rPr>
        <sz val="11"/>
        <color indexed="8"/>
        <rFont val="Calibri"/>
        <family val="2"/>
      </rPr>
      <t>) així com cadascun dels preus unitaris nets determinats (46,20 € -Servei de Suport Traducció Presencial-; i 29,70 € - Servei de Suport de Traducció de Documents-) constitueixen la xifra màxima per sobre de la qual s'estimarà que les ofertes dels licitadors excedeixen el tipus de la licitació i, per tant, seran excloses.</t>
    </r>
  </si>
  <si>
    <t>CONTRACTE 24000144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</si>
</sst>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3]_-;\-* #,##0.00\ [$€-403]_-;_-* &quot;-&quot;??\ [$€-403]_-;_-@_-"/>
    <numFmt numFmtId="165" formatCode="#,##0_);\(#,##0\)"/>
    <numFmt numFmtId="166" formatCode="0.0%"/>
    <numFmt numFmtId="167" formatCode="#,##0.00_);\(#,##0.00\)"/>
    <numFmt numFmtId="168" formatCode="#,##0.000"/>
    <numFmt numFmtId="169" formatCode="#,##0.00\ &quot;€&quot;"/>
    <numFmt numFmtId="170" formatCode="0.0000"/>
    <numFmt numFmtId="171" formatCode="0.0000%"/>
    <numFmt numFmtId="172" formatCode="_-* #,##0.0000\ &quot;€&quot;_-;\-* #,##0.0000\ &quot;€&quot;_-;_-* &quot;-&quot;??\ &quot;€&quot;_-;_-@_-"/>
    <numFmt numFmtId="173" formatCode="_-* #,##0.0000\ [$€-403]_-;\-* #,##0.0000\ [$€-403]_-;_-* &quot;-&quot;??\ [$€-403]_-;_-@_-"/>
    <numFmt numFmtId="174" formatCode="_-* #,##0.0000\ &quot;€&quot;_-;\-* #,##0.0000\ &quot;€&quot;_-;_-* &quot;-&quot;????\ &quot;€&quot;_-;_-@_-"/>
    <numFmt numFmtId="175" formatCode="0.000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DINPro-Regular"/>
    </font>
    <font>
      <b/>
      <sz val="10"/>
      <name val="DINPro-Regular"/>
      <family val="3"/>
    </font>
    <font>
      <sz val="10"/>
      <name val="DINPro-Regular"/>
      <family val="3"/>
    </font>
    <font>
      <b/>
      <sz val="14"/>
      <name val="DINPro-Regular"/>
      <family val="3"/>
    </font>
    <font>
      <b/>
      <sz val="10"/>
      <color rgb="FFFF0000"/>
      <name val="DINPro-Regular"/>
      <family val="3"/>
    </font>
    <font>
      <sz val="14"/>
      <name val="DINPro-Regular"/>
      <family val="3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B9F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DINPro-Regular"/>
    </font>
    <font>
      <b/>
      <sz val="11"/>
      <color rgb="FF00B0F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00B05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C000"/>
      <name val="Calibri"/>
      <family val="2"/>
      <scheme val="minor"/>
    </font>
    <font>
      <b/>
      <strike/>
      <sz val="11"/>
      <color rgb="FFFFB9FF"/>
      <name val="Calibri"/>
      <family val="2"/>
      <scheme val="minor"/>
    </font>
    <font>
      <strike/>
      <sz val="11"/>
      <color rgb="FFFFB9FF"/>
      <name val="Calibri"/>
      <family val="2"/>
      <scheme val="minor"/>
    </font>
    <font>
      <b/>
      <sz val="16"/>
      <name val="Calibri"/>
      <family val="2"/>
      <scheme val="minor"/>
    </font>
    <font>
      <b/>
      <u/>
      <sz val="8"/>
      <name val="Calibri"/>
      <family val="2"/>
      <scheme val="minor"/>
    </font>
    <font>
      <sz val="13"/>
      <name val="Arial"/>
      <family val="2"/>
    </font>
    <font>
      <b/>
      <sz val="12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AD5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4ECB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3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left"/>
    </xf>
    <xf numFmtId="44" fontId="3" fillId="0" borderId="1" xfId="0" applyNumberFormat="1" applyFont="1" applyBorder="1" applyAlignment="1">
      <alignment vertical="top" wrapText="1"/>
    </xf>
    <xf numFmtId="0" fontId="2" fillId="0" borderId="0" xfId="0" applyFont="1"/>
    <xf numFmtId="44" fontId="2" fillId="0" borderId="1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left"/>
    </xf>
    <xf numFmtId="0" fontId="4" fillId="0" borderId="0" xfId="0" applyFont="1"/>
    <xf numFmtId="164" fontId="0" fillId="0" borderId="0" xfId="0" applyNumberFormat="1"/>
    <xf numFmtId="10" fontId="0" fillId="0" borderId="0" xfId="0" applyNumberFormat="1"/>
    <xf numFmtId="43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vertical="top" wrapText="1"/>
    </xf>
    <xf numFmtId="44" fontId="2" fillId="0" borderId="0" xfId="0" applyNumberFormat="1" applyFont="1"/>
    <xf numFmtId="10" fontId="2" fillId="0" borderId="0" xfId="0" applyNumberFormat="1" applyFont="1"/>
    <xf numFmtId="44" fontId="0" fillId="0" borderId="1" xfId="0" applyNumberFormat="1" applyFont="1" applyBorder="1" applyAlignment="1">
      <alignment vertical="top" wrapText="1"/>
    </xf>
    <xf numFmtId="44" fontId="4" fillId="0" borderId="1" xfId="0" applyNumberFormat="1" applyFont="1" applyBorder="1" applyAlignment="1">
      <alignment vertical="top" wrapText="1"/>
    </xf>
    <xf numFmtId="164" fontId="4" fillId="0" borderId="0" xfId="0" applyNumberFormat="1" applyFont="1"/>
    <xf numFmtId="164" fontId="2" fillId="0" borderId="0" xfId="0" applyNumberFormat="1" applyFont="1"/>
    <xf numFmtId="164" fontId="0" fillId="0" borderId="0" xfId="0" applyNumberFormat="1" applyFont="1"/>
    <xf numFmtId="164" fontId="2" fillId="2" borderId="0" xfId="0" applyNumberFormat="1" applyFont="1" applyFill="1"/>
    <xf numFmtId="164" fontId="0" fillId="2" borderId="0" xfId="0" applyNumberFormat="1" applyFill="1"/>
    <xf numFmtId="0" fontId="3" fillId="0" borderId="0" xfId="0" applyFont="1"/>
    <xf numFmtId="164" fontId="3" fillId="0" borderId="0" xfId="0" applyNumberFormat="1" applyFont="1"/>
    <xf numFmtId="10" fontId="3" fillId="0" borderId="0" xfId="2" applyNumberFormat="1" applyFont="1"/>
    <xf numFmtId="164" fontId="6" fillId="0" borderId="0" xfId="0" applyNumberFormat="1" applyFont="1"/>
    <xf numFmtId="10" fontId="3" fillId="0" borderId="0" xfId="0" applyNumberFormat="1" applyFont="1"/>
    <xf numFmtId="0" fontId="2" fillId="3" borderId="3" xfId="0" applyFont="1" applyFill="1" applyBorder="1"/>
    <xf numFmtId="0" fontId="2" fillId="3" borderId="6" xfId="0" applyFont="1" applyFill="1" applyBorder="1"/>
    <xf numFmtId="2" fontId="0" fillId="0" borderId="0" xfId="0" applyNumberFormat="1"/>
    <xf numFmtId="0" fontId="8" fillId="0" borderId="0" xfId="0" applyFont="1"/>
    <xf numFmtId="0" fontId="2" fillId="2" borderId="0" xfId="0" applyFont="1" applyFill="1"/>
    <xf numFmtId="2" fontId="2" fillId="2" borderId="0" xfId="0" applyNumberFormat="1" applyFont="1" applyFill="1"/>
    <xf numFmtId="0" fontId="2" fillId="0" borderId="0" xfId="0" applyFont="1" applyAlignment="1">
      <alignment horizontal="center"/>
    </xf>
    <xf numFmtId="165" fontId="9" fillId="0" borderId="0" xfId="3" applyNumberFormat="1" applyFont="1"/>
    <xf numFmtId="4" fontId="4" fillId="0" borderId="0" xfId="3" applyNumberFormat="1" applyFont="1"/>
    <xf numFmtId="165" fontId="4" fillId="0" borderId="0" xfId="3" applyNumberFormat="1" applyFont="1"/>
    <xf numFmtId="2" fontId="4" fillId="0" borderId="0" xfId="3" applyNumberFormat="1" applyFont="1"/>
    <xf numFmtId="165" fontId="9" fillId="0" borderId="0" xfId="3" applyNumberFormat="1" applyFont="1" applyAlignment="1">
      <alignment horizontal="center"/>
    </xf>
    <xf numFmtId="165" fontId="4" fillId="0" borderId="0" xfId="3" applyNumberFormat="1" applyFont="1" applyFill="1"/>
    <xf numFmtId="0" fontId="10" fillId="0" borderId="0" xfId="3" applyFont="1" applyFill="1"/>
    <xf numFmtId="165" fontId="11" fillId="0" borderId="0" xfId="3" applyNumberFormat="1" applyFont="1"/>
    <xf numFmtId="4" fontId="12" fillId="0" borderId="0" xfId="3" applyNumberFormat="1" applyFont="1"/>
    <xf numFmtId="166" fontId="13" fillId="6" borderId="0" xfId="2" applyNumberFormat="1" applyFont="1" applyFill="1"/>
    <xf numFmtId="167" fontId="12" fillId="0" borderId="0" xfId="3" applyNumberFormat="1" applyFont="1"/>
    <xf numFmtId="168" fontId="12" fillId="0" borderId="0" xfId="3" applyNumberFormat="1" applyFont="1"/>
    <xf numFmtId="10" fontId="14" fillId="0" borderId="0" xfId="2" applyNumberFormat="1" applyFont="1" applyAlignment="1">
      <alignment horizontal="center"/>
    </xf>
    <xf numFmtId="10" fontId="12" fillId="0" borderId="0" xfId="3" applyNumberFormat="1" applyFont="1"/>
    <xf numFmtId="165" fontId="12" fillId="0" borderId="0" xfId="3" applyNumberFormat="1" applyFont="1"/>
    <xf numFmtId="165" fontId="13" fillId="0" borderId="0" xfId="3" applyNumberFormat="1" applyFont="1"/>
    <xf numFmtId="4" fontId="15" fillId="0" borderId="0" xfId="3" applyNumberFormat="1" applyFont="1"/>
    <xf numFmtId="165" fontId="15" fillId="0" borderId="0" xfId="3" applyNumberFormat="1" applyFont="1"/>
    <xf numFmtId="168" fontId="15" fillId="0" borderId="0" xfId="3" applyNumberFormat="1" applyFont="1"/>
    <xf numFmtId="168" fontId="13" fillId="0" borderId="0" xfId="3" applyNumberFormat="1" applyFont="1"/>
    <xf numFmtId="2" fontId="16" fillId="0" borderId="0" xfId="3" applyNumberFormat="1" applyFont="1"/>
    <xf numFmtId="10" fontId="13" fillId="0" borderId="0" xfId="3" applyNumberFormat="1" applyFont="1" applyAlignment="1">
      <alignment horizontal="center"/>
    </xf>
    <xf numFmtId="2" fontId="12" fillId="0" borderId="0" xfId="3" applyNumberFormat="1" applyFont="1"/>
    <xf numFmtId="165" fontId="11" fillId="0" borderId="0" xfId="3" applyNumberFormat="1" applyFont="1" applyAlignment="1">
      <alignment horizontal="center"/>
    </xf>
    <xf numFmtId="0" fontId="5" fillId="0" borderId="0" xfId="0" applyFont="1"/>
    <xf numFmtId="10" fontId="0" fillId="0" borderId="0" xfId="2" applyNumberFormat="1" applyFont="1"/>
    <xf numFmtId="164" fontId="4" fillId="0" borderId="0" xfId="1" applyNumberFormat="1" applyFont="1"/>
    <xf numFmtId="44" fontId="9" fillId="0" borderId="0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10" fontId="13" fillId="6" borderId="0" xfId="2" applyNumberFormat="1" applyFont="1" applyFill="1"/>
    <xf numFmtId="0" fontId="0" fillId="0" borderId="0" xfId="0" quotePrefix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10" fontId="0" fillId="7" borderId="0" xfId="2" applyNumberFormat="1" applyFont="1" applyFill="1"/>
    <xf numFmtId="0" fontId="5" fillId="7" borderId="0" xfId="0" applyFont="1" applyFill="1"/>
    <xf numFmtId="10" fontId="0" fillId="8" borderId="0" xfId="2" applyNumberFormat="1" applyFont="1" applyFill="1"/>
    <xf numFmtId="3" fontId="0" fillId="8" borderId="1" xfId="0" applyNumberFormat="1" applyFill="1" applyBorder="1"/>
    <xf numFmtId="3" fontId="5" fillId="8" borderId="0" xfId="0" applyNumberFormat="1" applyFont="1" applyFill="1"/>
    <xf numFmtId="0" fontId="5" fillId="8" borderId="0" xfId="0" applyFont="1" applyFill="1"/>
    <xf numFmtId="10" fontId="0" fillId="9" borderId="0" xfId="2" applyNumberFormat="1" applyFont="1" applyFill="1"/>
    <xf numFmtId="3" fontId="0" fillId="9" borderId="1" xfId="0" applyNumberFormat="1" applyFill="1" applyBorder="1"/>
    <xf numFmtId="3" fontId="5" fillId="9" borderId="0" xfId="0" applyNumberFormat="1" applyFont="1" applyFill="1"/>
    <xf numFmtId="0" fontId="5" fillId="9" borderId="0" xfId="0" applyFont="1" applyFill="1"/>
    <xf numFmtId="3" fontId="0" fillId="8" borderId="0" xfId="0" applyNumberFormat="1" applyFill="1"/>
    <xf numFmtId="3" fontId="0" fillId="7" borderId="0" xfId="0" applyNumberFormat="1" applyFill="1"/>
    <xf numFmtId="3" fontId="0" fillId="9" borderId="0" xfId="0" applyNumberFormat="1" applyFill="1"/>
    <xf numFmtId="3" fontId="18" fillId="9" borderId="0" xfId="0" applyNumberFormat="1" applyFont="1" applyFill="1"/>
    <xf numFmtId="10" fontId="2" fillId="0" borderId="0" xfId="2" applyNumberFormat="1" applyFont="1"/>
    <xf numFmtId="3" fontId="9" fillId="8" borderId="0" xfId="0" applyNumberFormat="1" applyFont="1" applyFill="1"/>
    <xf numFmtId="3" fontId="9" fillId="7" borderId="0" xfId="0" applyNumberFormat="1" applyFont="1" applyFill="1"/>
    <xf numFmtId="3" fontId="9" fillId="9" borderId="0" xfId="0" applyNumberFormat="1" applyFont="1" applyFill="1"/>
    <xf numFmtId="0" fontId="19" fillId="0" borderId="0" xfId="0" applyFont="1"/>
    <xf numFmtId="164" fontId="19" fillId="0" borderId="0" xfId="0" applyNumberFormat="1" applyFont="1"/>
    <xf numFmtId="0" fontId="4" fillId="0" borderId="0" xfId="0" applyFont="1" applyFill="1" applyAlignment="1">
      <alignment wrapText="1"/>
    </xf>
    <xf numFmtId="10" fontId="4" fillId="0" borderId="0" xfId="0" applyNumberFormat="1" applyFont="1" applyFill="1"/>
    <xf numFmtId="0" fontId="4" fillId="0" borderId="0" xfId="0" applyFont="1" applyFill="1"/>
    <xf numFmtId="4" fontId="4" fillId="0" borderId="0" xfId="0" applyNumberFormat="1" applyFont="1"/>
    <xf numFmtId="0" fontId="0" fillId="0" borderId="0" xfId="0" applyFill="1"/>
    <xf numFmtId="10" fontId="0" fillId="0" borderId="0" xfId="0" applyNumberFormat="1" applyFont="1"/>
    <xf numFmtId="0" fontId="20" fillId="0" borderId="0" xfId="0" applyFont="1" applyFill="1"/>
    <xf numFmtId="3" fontId="20" fillId="0" borderId="0" xfId="0" applyNumberFormat="1" applyFont="1" applyFill="1"/>
    <xf numFmtId="0" fontId="20" fillId="0" borderId="1" xfId="0" applyFont="1" applyFill="1" applyBorder="1"/>
    <xf numFmtId="0" fontId="20" fillId="0" borderId="9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0" fillId="0" borderId="1" xfId="0" applyFont="1" applyFill="1" applyBorder="1" applyAlignment="1">
      <alignment vertical="center"/>
    </xf>
    <xf numFmtId="169" fontId="20" fillId="0" borderId="0" xfId="0" applyNumberFormat="1" applyFont="1" applyFill="1"/>
    <xf numFmtId="4" fontId="20" fillId="0" borderId="0" xfId="0" applyNumberFormat="1" applyFont="1" applyFill="1" applyBorder="1" applyAlignment="1">
      <alignment horizontal="center"/>
    </xf>
    <xf numFmtId="44" fontId="20" fillId="0" borderId="0" xfId="0" applyNumberFormat="1" applyFont="1" applyFill="1" applyBorder="1" applyAlignment="1">
      <alignment horizontal="center"/>
    </xf>
    <xf numFmtId="0" fontId="20" fillId="0" borderId="10" xfId="0" applyFont="1" applyFill="1" applyBorder="1"/>
    <xf numFmtId="10" fontId="21" fillId="0" borderId="10" xfId="0" applyNumberFormat="1" applyFont="1" applyFill="1" applyBorder="1" applyAlignment="1">
      <alignment horizontal="center"/>
    </xf>
    <xf numFmtId="4" fontId="10" fillId="0" borderId="0" xfId="3" applyNumberFormat="1" applyFont="1" applyFill="1"/>
    <xf numFmtId="165" fontId="10" fillId="0" borderId="0" xfId="3" applyNumberFormat="1" applyFont="1" applyFill="1"/>
    <xf numFmtId="4" fontId="4" fillId="0" borderId="0" xfId="0" applyNumberFormat="1" applyFont="1" applyFill="1"/>
    <xf numFmtId="3" fontId="4" fillId="0" borderId="0" xfId="0" applyNumberFormat="1" applyFont="1" applyFill="1"/>
    <xf numFmtId="0" fontId="0" fillId="0" borderId="0" xfId="0" applyBorder="1"/>
    <xf numFmtId="9" fontId="0" fillId="0" borderId="0" xfId="0" applyNumberFormat="1"/>
    <xf numFmtId="0" fontId="0" fillId="0" borderId="17" xfId="0" applyBorder="1"/>
    <xf numFmtId="0" fontId="0" fillId="2" borderId="9" xfId="0" applyFill="1" applyBorder="1"/>
    <xf numFmtId="0" fontId="0" fillId="0" borderId="30" xfId="0" applyBorder="1"/>
    <xf numFmtId="0" fontId="0" fillId="0" borderId="9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6" xfId="0" applyBorder="1"/>
    <xf numFmtId="0" fontId="0" fillId="0" borderId="8" xfId="0" applyBorder="1"/>
    <xf numFmtId="170" fontId="0" fillId="2" borderId="9" xfId="0" applyNumberFormat="1" applyFill="1" applyBorder="1"/>
    <xf numFmtId="170" fontId="0" fillId="0" borderId="30" xfId="0" applyNumberFormat="1" applyBorder="1"/>
    <xf numFmtId="170" fontId="0" fillId="0" borderId="9" xfId="0" applyNumberFormat="1" applyBorder="1"/>
    <xf numFmtId="170" fontId="0" fillId="0" borderId="31" xfId="0" applyNumberFormat="1" applyBorder="1"/>
    <xf numFmtId="0" fontId="0" fillId="10" borderId="6" xfId="0" applyFill="1" applyBorder="1"/>
    <xf numFmtId="0" fontId="0" fillId="10" borderId="8" xfId="0" applyFill="1" applyBorder="1"/>
    <xf numFmtId="170" fontId="0" fillId="10" borderId="9" xfId="0" applyNumberFormat="1" applyFill="1" applyBorder="1"/>
    <xf numFmtId="170" fontId="0" fillId="10" borderId="30" xfId="0" applyNumberFormat="1" applyFill="1" applyBorder="1"/>
    <xf numFmtId="170" fontId="0" fillId="10" borderId="31" xfId="0" applyNumberFormat="1" applyFill="1" applyBorder="1"/>
    <xf numFmtId="171" fontId="0" fillId="0" borderId="0" xfId="2" applyNumberFormat="1" applyFont="1"/>
    <xf numFmtId="171" fontId="0" fillId="0" borderId="0" xfId="0" applyNumberFormat="1" applyFont="1"/>
    <xf numFmtId="0" fontId="0" fillId="6" borderId="0" xfId="0" applyFill="1"/>
    <xf numFmtId="173" fontId="4" fillId="0" borderId="0" xfId="0" applyNumberFormat="1" applyFont="1" applyFill="1"/>
    <xf numFmtId="173" fontId="4" fillId="0" borderId="0" xfId="0" applyNumberFormat="1" applyFont="1"/>
    <xf numFmtId="173" fontId="4" fillId="0" borderId="0" xfId="1" applyNumberFormat="1" applyFont="1" applyFill="1"/>
    <xf numFmtId="173" fontId="4" fillId="0" borderId="0" xfId="1" applyNumberFormat="1" applyFont="1"/>
    <xf numFmtId="170" fontId="0" fillId="0" borderId="0" xfId="0" applyNumberFormat="1"/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4" fontId="2" fillId="0" borderId="1" xfId="1" applyFont="1" applyFill="1" applyBorder="1"/>
    <xf numFmtId="44" fontId="2" fillId="0" borderId="0" xfId="0" applyNumberFormat="1" applyFont="1" applyFill="1"/>
    <xf numFmtId="0" fontId="2" fillId="0" borderId="0" xfId="0" applyFont="1" applyFill="1"/>
    <xf numFmtId="44" fontId="24" fillId="0" borderId="16" xfId="1" applyFont="1" applyBorder="1"/>
    <xf numFmtId="44" fontId="24" fillId="0" borderId="19" xfId="1" applyFont="1" applyBorder="1"/>
    <xf numFmtId="44" fontId="24" fillId="3" borderId="1" xfId="1" applyFont="1" applyFill="1" applyBorder="1"/>
    <xf numFmtId="44" fontId="24" fillId="3" borderId="20" xfId="1" applyFont="1" applyFill="1" applyBorder="1"/>
    <xf numFmtId="0" fontId="25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3" borderId="4" xfId="1" applyNumberFormat="1" applyFont="1" applyFill="1" applyBorder="1" applyAlignment="1">
      <alignment horizontal="center"/>
    </xf>
    <xf numFmtId="44" fontId="9" fillId="0" borderId="19" xfId="1" applyFont="1" applyBorder="1"/>
    <xf numFmtId="0" fontId="0" fillId="0" borderId="33" xfId="0" applyBorder="1"/>
    <xf numFmtId="0" fontId="0" fillId="0" borderId="34" xfId="0" applyBorder="1"/>
    <xf numFmtId="44" fontId="4" fillId="0" borderId="0" xfId="0" applyNumberFormat="1" applyFont="1" applyFill="1"/>
    <xf numFmtId="10" fontId="4" fillId="0" borderId="0" xfId="2" applyNumberFormat="1" applyFont="1"/>
    <xf numFmtId="2" fontId="4" fillId="0" borderId="0" xfId="0" applyNumberFormat="1" applyFont="1"/>
    <xf numFmtId="4" fontId="0" fillId="0" borderId="0" xfId="0" applyNumberFormat="1"/>
    <xf numFmtId="3" fontId="0" fillId="7" borderId="0" xfId="0" applyNumberFormat="1" applyFill="1" applyBorder="1"/>
    <xf numFmtId="0" fontId="0" fillId="0" borderId="33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34" xfId="0" applyBorder="1" applyProtection="1">
      <protection hidden="1"/>
    </xf>
    <xf numFmtId="0" fontId="27" fillId="0" borderId="33" xfId="0" applyFont="1" applyBorder="1" applyProtection="1">
      <protection hidden="1"/>
    </xf>
    <xf numFmtId="0" fontId="28" fillId="0" borderId="0" xfId="0" applyFont="1" applyBorder="1" applyProtection="1">
      <protection hidden="1"/>
    </xf>
    <xf numFmtId="2" fontId="28" fillId="0" borderId="0" xfId="0" applyNumberFormat="1" applyFont="1" applyBorder="1" applyProtection="1">
      <protection hidden="1"/>
    </xf>
    <xf numFmtId="0" fontId="28" fillId="0" borderId="33" xfId="0" applyFont="1" applyBorder="1" applyProtection="1">
      <protection hidden="1"/>
    </xf>
    <xf numFmtId="0" fontId="29" fillId="13" borderId="21" xfId="0" applyFont="1" applyFill="1" applyBorder="1" applyAlignment="1" applyProtection="1">
      <alignment wrapText="1"/>
      <protection hidden="1"/>
    </xf>
    <xf numFmtId="0" fontId="29" fillId="13" borderId="1" xfId="0" applyFont="1" applyFill="1" applyBorder="1" applyAlignment="1" applyProtection="1">
      <alignment vertical="center" wrapText="1"/>
      <protection hidden="1"/>
    </xf>
    <xf numFmtId="0" fontId="29" fillId="13" borderId="1" xfId="0" applyFont="1" applyFill="1" applyBorder="1" applyAlignment="1" applyProtection="1">
      <alignment horizontal="center" vertical="center" wrapText="1"/>
      <protection hidden="1"/>
    </xf>
    <xf numFmtId="2" fontId="29" fillId="13" borderId="1" xfId="0" applyNumberFormat="1" applyFont="1" applyFill="1" applyBorder="1" applyAlignment="1" applyProtection="1">
      <alignment horizontal="center" vertical="center" wrapText="1"/>
      <protection hidden="1"/>
    </xf>
    <xf numFmtId="0" fontId="29" fillId="12" borderId="21" xfId="0" quotePrefix="1" applyFont="1" applyFill="1" applyBorder="1" applyAlignment="1" applyProtection="1">
      <alignment vertical="center" wrapText="1"/>
      <protection hidden="1"/>
    </xf>
    <xf numFmtId="164" fontId="30" fillId="0" borderId="1" xfId="0" applyNumberFormat="1" applyFont="1" applyBorder="1" applyAlignment="1" applyProtection="1">
      <alignment vertical="center"/>
      <protection hidden="1"/>
    </xf>
    <xf numFmtId="164" fontId="29" fillId="0" borderId="0" xfId="0" applyNumberFormat="1" applyFont="1" applyBorder="1" applyProtection="1">
      <protection hidden="1"/>
    </xf>
    <xf numFmtId="164" fontId="31" fillId="0" borderId="0" xfId="0" applyNumberFormat="1" applyFont="1" applyBorder="1" applyAlignment="1" applyProtection="1">
      <alignment horizontal="right"/>
      <protection hidden="1"/>
    </xf>
    <xf numFmtId="0" fontId="30" fillId="12" borderId="1" xfId="0" quotePrefix="1" applyFont="1" applyFill="1" applyBorder="1" applyAlignment="1" applyProtection="1">
      <alignment wrapText="1"/>
      <protection hidden="1"/>
    </xf>
    <xf numFmtId="164" fontId="28" fillId="14" borderId="1" xfId="0" applyNumberFormat="1" applyFont="1" applyFill="1" applyBorder="1" applyProtection="1">
      <protection locked="0" hidden="1"/>
    </xf>
    <xf numFmtId="164" fontId="30" fillId="0" borderId="1" xfId="0" applyNumberFormat="1" applyFont="1" applyBorder="1" applyProtection="1">
      <protection hidden="1"/>
    </xf>
    <xf numFmtId="164" fontId="31" fillId="0" borderId="1" xfId="1" applyNumberFormat="1" applyFont="1" applyBorder="1" applyProtection="1">
      <protection hidden="1"/>
    </xf>
    <xf numFmtId="164" fontId="29" fillId="15" borderId="1" xfId="0" applyNumberFormat="1" applyFont="1" applyFill="1" applyBorder="1" applyAlignment="1" applyProtection="1">
      <alignment horizontal="right"/>
      <protection hidden="1"/>
    </xf>
    <xf numFmtId="164" fontId="29" fillId="15" borderId="8" xfId="0" applyNumberFormat="1" applyFont="1" applyFill="1" applyBorder="1" applyAlignment="1" applyProtection="1">
      <protection hidden="1"/>
    </xf>
    <xf numFmtId="164" fontId="29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Protection="1">
      <protection hidden="1"/>
    </xf>
    <xf numFmtId="0" fontId="30" fillId="0" borderId="6" xfId="0" applyFont="1" applyBorder="1" applyProtection="1">
      <protection hidden="1"/>
    </xf>
    <xf numFmtId="0" fontId="28" fillId="0" borderId="8" xfId="0" applyFont="1" applyBorder="1" applyProtection="1">
      <protection hidden="1"/>
    </xf>
    <xf numFmtId="164" fontId="30" fillId="0" borderId="1" xfId="4" applyNumberFormat="1" applyFont="1" applyBorder="1" applyProtection="1">
      <protection hidden="1"/>
    </xf>
    <xf numFmtId="164" fontId="28" fillId="0" borderId="1" xfId="0" applyNumberFormat="1" applyFont="1" applyBorder="1" applyAlignment="1" applyProtection="1">
      <alignment horizontal="left"/>
      <protection hidden="1"/>
    </xf>
    <xf numFmtId="9" fontId="30" fillId="0" borderId="1" xfId="2" applyFont="1" applyBorder="1" applyProtection="1">
      <protection hidden="1"/>
    </xf>
    <xf numFmtId="0" fontId="28" fillId="14" borderId="1" xfId="0" applyNumberFormat="1" applyFont="1" applyFill="1" applyBorder="1" applyAlignment="1" applyProtection="1">
      <alignment horizontal="right"/>
      <protection locked="0" hidden="1"/>
    </xf>
    <xf numFmtId="0" fontId="29" fillId="0" borderId="6" xfId="0" applyFont="1" applyBorder="1" applyProtection="1">
      <protection hidden="1"/>
    </xf>
    <xf numFmtId="0" fontId="31" fillId="0" borderId="8" xfId="0" applyFont="1" applyBorder="1" applyProtection="1">
      <protection hidden="1"/>
    </xf>
    <xf numFmtId="164" fontId="29" fillId="0" borderId="1" xfId="4" applyNumberFormat="1" applyFont="1" applyBorder="1" applyProtection="1">
      <protection hidden="1"/>
    </xf>
    <xf numFmtId="164" fontId="31" fillId="0" borderId="1" xfId="0" applyNumberFormat="1" applyFont="1" applyBorder="1" applyAlignment="1" applyProtection="1">
      <alignment horizontal="left"/>
      <protection hidden="1"/>
    </xf>
    <xf numFmtId="164" fontId="29" fillId="0" borderId="1" xfId="0" applyNumberFormat="1" applyFont="1" applyBorder="1" applyProtection="1">
      <protection hidden="1"/>
    </xf>
    <xf numFmtId="0" fontId="29" fillId="0" borderId="0" xfId="0" applyFont="1" applyBorder="1" applyProtection="1">
      <protection hidden="1"/>
    </xf>
    <xf numFmtId="0" fontId="31" fillId="0" borderId="0" xfId="0" applyFont="1" applyBorder="1" applyProtection="1">
      <protection hidden="1"/>
    </xf>
    <xf numFmtId="164" fontId="29" fillId="0" borderId="0" xfId="4" applyNumberFormat="1" applyFont="1" applyBorder="1" applyProtection="1">
      <protection hidden="1"/>
    </xf>
    <xf numFmtId="2" fontId="0" fillId="0" borderId="0" xfId="0" applyNumberFormat="1" applyBorder="1" applyProtection="1">
      <protection hidden="1"/>
    </xf>
    <xf numFmtId="0" fontId="0" fillId="0" borderId="35" xfId="0" applyBorder="1"/>
    <xf numFmtId="0" fontId="0" fillId="0" borderId="25" xfId="0" applyBorder="1"/>
    <xf numFmtId="0" fontId="0" fillId="0" borderId="37" xfId="0" applyBorder="1"/>
    <xf numFmtId="3" fontId="30" fillId="12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/>
    </xf>
    <xf numFmtId="0" fontId="0" fillId="0" borderId="0" xfId="0" applyProtection="1"/>
    <xf numFmtId="2" fontId="0" fillId="0" borderId="0" xfId="0" applyNumberFormat="1" applyProtection="1"/>
    <xf numFmtId="3" fontId="3" fillId="0" borderId="0" xfId="0" applyNumberFormat="1" applyFont="1"/>
    <xf numFmtId="0" fontId="0" fillId="8" borderId="0" xfId="0" applyFill="1" applyBorder="1" applyAlignment="1">
      <alignment horizontal="center"/>
    </xf>
    <xf numFmtId="3" fontId="0" fillId="8" borderId="0" xfId="0" applyNumberFormat="1" applyFill="1" applyBorder="1"/>
    <xf numFmtId="0" fontId="0" fillId="7" borderId="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3" fontId="0" fillId="9" borderId="0" xfId="0" applyNumberFormat="1" applyFill="1" applyBorder="1"/>
    <xf numFmtId="3" fontId="0" fillId="7" borderId="16" xfId="0" applyNumberFormat="1" applyFill="1" applyBorder="1"/>
    <xf numFmtId="3" fontId="9" fillId="0" borderId="3" xfId="0" applyNumberFormat="1" applyFont="1" applyFill="1" applyBorder="1"/>
    <xf numFmtId="3" fontId="9" fillId="0" borderId="4" xfId="0" applyNumberFormat="1" applyFont="1" applyFill="1" applyBorder="1"/>
    <xf numFmtId="3" fontId="9" fillId="16" borderId="10" xfId="0" applyNumberFormat="1" applyFont="1" applyFill="1" applyBorder="1"/>
    <xf numFmtId="4" fontId="9" fillId="0" borderId="0" xfId="0" applyNumberFormat="1" applyFont="1" applyFill="1"/>
    <xf numFmtId="165" fontId="33" fillId="0" borderId="0" xfId="3" applyNumberFormat="1" applyFont="1" applyFill="1"/>
    <xf numFmtId="0" fontId="23" fillId="0" borderId="1" xfId="0" applyFont="1" applyBorder="1" applyAlignment="1">
      <alignment horizontal="left"/>
    </xf>
    <xf numFmtId="0" fontId="0" fillId="0" borderId="6" xfId="0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44" fontId="3" fillId="0" borderId="8" xfId="0" applyNumberFormat="1" applyFont="1" applyBorder="1" applyAlignment="1">
      <alignment vertical="top" wrapText="1"/>
    </xf>
    <xf numFmtId="44" fontId="0" fillId="0" borderId="8" xfId="0" applyNumberFormat="1" applyFont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34" fillId="0" borderId="40" xfId="0" applyFont="1" applyBorder="1" applyAlignment="1">
      <alignment vertical="top" wrapText="1"/>
    </xf>
    <xf numFmtId="0" fontId="6" fillId="0" borderId="40" xfId="0" applyFont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44" fontId="34" fillId="0" borderId="27" xfId="0" applyNumberFormat="1" applyFont="1" applyBorder="1" applyAlignment="1">
      <alignment vertical="top" wrapText="1"/>
    </xf>
    <xf numFmtId="44" fontId="6" fillId="0" borderId="27" xfId="0" applyNumberFormat="1" applyFont="1" applyBorder="1" applyAlignment="1">
      <alignment vertical="top" wrapText="1"/>
    </xf>
    <xf numFmtId="44" fontId="2" fillId="0" borderId="38" xfId="0" applyNumberFormat="1" applyFont="1" applyBorder="1" applyAlignment="1">
      <alignment vertical="top" wrapText="1"/>
    </xf>
    <xf numFmtId="4" fontId="5" fillId="9" borderId="0" xfId="0" applyNumberFormat="1" applyFont="1" applyFill="1"/>
    <xf numFmtId="4" fontId="9" fillId="16" borderId="10" xfId="0" applyNumberFormat="1" applyFont="1" applyFill="1" applyBorder="1"/>
    <xf numFmtId="173" fontId="4" fillId="2" borderId="0" xfId="1" applyNumberFormat="1" applyFont="1" applyFill="1"/>
    <xf numFmtId="0" fontId="0" fillId="0" borderId="0" xfId="0" applyFont="1"/>
    <xf numFmtId="44" fontId="19" fillId="0" borderId="0" xfId="1" applyFont="1"/>
    <xf numFmtId="0" fontId="26" fillId="0" borderId="4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14" fontId="0" fillId="0" borderId="0" xfId="0" applyNumberFormat="1" applyFont="1"/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43" fontId="0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4" fontId="5" fillId="0" borderId="1" xfId="1" applyFont="1" applyFill="1" applyBorder="1"/>
    <xf numFmtId="44" fontId="5" fillId="0" borderId="0" xfId="0" applyNumberFormat="1" applyFont="1" applyFill="1"/>
    <xf numFmtId="0" fontId="5" fillId="0" borderId="0" xfId="0" applyFont="1" applyFill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4" fontId="4" fillId="0" borderId="8" xfId="0" applyNumberFormat="1" applyFont="1" applyBorder="1" applyAlignment="1">
      <alignment vertical="top" wrapText="1"/>
    </xf>
    <xf numFmtId="10" fontId="4" fillId="0" borderId="0" xfId="0" applyNumberFormat="1" applyFont="1"/>
    <xf numFmtId="164" fontId="9" fillId="0" borderId="0" xfId="0" applyNumberFormat="1" applyFont="1"/>
    <xf numFmtId="44" fontId="6" fillId="0" borderId="1" xfId="0" applyNumberFormat="1" applyFont="1" applyBorder="1" applyAlignment="1">
      <alignment vertical="top" wrapText="1"/>
    </xf>
    <xf numFmtId="10" fontId="4" fillId="0" borderId="0" xfId="2" applyNumberFormat="1" applyFont="1" applyFill="1"/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42" xfId="0" applyFont="1" applyBorder="1"/>
    <xf numFmtId="0" fontId="9" fillId="0" borderId="2" xfId="0" applyFont="1" applyBorder="1" applyAlignment="1">
      <alignment horizontal="center"/>
    </xf>
    <xf numFmtId="0" fontId="4" fillId="0" borderId="27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38" xfId="0" applyFont="1" applyFill="1" applyBorder="1" applyAlignment="1">
      <alignment horizontal="left"/>
    </xf>
    <xf numFmtId="0" fontId="4" fillId="0" borderId="2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5" fillId="0" borderId="0" xfId="0" applyFont="1" applyAlignment="1">
      <alignment wrapText="1"/>
    </xf>
    <xf numFmtId="0" fontId="9" fillId="0" borderId="42" xfId="0" applyFont="1" applyBorder="1" applyAlignment="1">
      <alignment horizontal="center"/>
    </xf>
    <xf numFmtId="164" fontId="4" fillId="0" borderId="27" xfId="1" applyNumberFormat="1" applyFont="1" applyBorder="1" applyAlignment="1">
      <alignment vertical="center" wrapText="1"/>
    </xf>
    <xf numFmtId="164" fontId="4" fillId="0" borderId="38" xfId="0" applyNumberFormat="1" applyFont="1" applyFill="1" applyBorder="1" applyAlignment="1">
      <alignment vertical="center"/>
    </xf>
    <xf numFmtId="164" fontId="3" fillId="0" borderId="27" xfId="1" applyNumberFormat="1" applyFont="1" applyBorder="1" applyAlignment="1">
      <alignment vertical="center" wrapText="1"/>
    </xf>
    <xf numFmtId="164" fontId="3" fillId="0" borderId="38" xfId="0" applyNumberFormat="1" applyFont="1" applyFill="1" applyBorder="1" applyAlignment="1">
      <alignment vertical="center"/>
    </xf>
    <xf numFmtId="0" fontId="6" fillId="0" borderId="0" xfId="0" applyFont="1"/>
    <xf numFmtId="14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44" fontId="26" fillId="0" borderId="1" xfId="1" applyFont="1" applyFill="1" applyBorder="1"/>
    <xf numFmtId="44" fontId="6" fillId="0" borderId="0" xfId="0" applyNumberFormat="1" applyFont="1" applyFill="1"/>
    <xf numFmtId="0" fontId="6" fillId="0" borderId="0" xfId="0" applyFont="1" applyFill="1"/>
    <xf numFmtId="44" fontId="6" fillId="0" borderId="1" xfId="1" applyFont="1" applyFill="1" applyBorder="1"/>
    <xf numFmtId="0" fontId="26" fillId="0" borderId="0" xfId="0" applyFont="1"/>
    <xf numFmtId="0" fontId="26" fillId="0" borderId="1" xfId="0" applyFont="1" applyFill="1" applyBorder="1" applyAlignment="1">
      <alignment horizontal="left"/>
    </xf>
    <xf numFmtId="14" fontId="26" fillId="0" borderId="1" xfId="0" applyNumberFormat="1" applyFont="1" applyFill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0" fontId="36" fillId="0" borderId="0" xfId="0" applyFont="1"/>
    <xf numFmtId="0" fontId="36" fillId="0" borderId="1" xfId="0" applyFont="1" applyFill="1" applyBorder="1" applyAlignment="1">
      <alignment horizontal="left"/>
    </xf>
    <xf numFmtId="14" fontId="36" fillId="0" borderId="1" xfId="0" applyNumberFormat="1" applyFont="1" applyFill="1" applyBorder="1" applyAlignment="1">
      <alignment horizontal="center"/>
    </xf>
    <xf numFmtId="0" fontId="36" fillId="0" borderId="1" xfId="0" applyNumberFormat="1" applyFont="1" applyFill="1" applyBorder="1" applyAlignment="1">
      <alignment horizontal="center"/>
    </xf>
    <xf numFmtId="4" fontId="36" fillId="0" borderId="1" xfId="0" applyNumberFormat="1" applyFont="1" applyFill="1" applyBorder="1" applyAlignment="1">
      <alignment horizontal="center"/>
    </xf>
    <xf numFmtId="44" fontId="36" fillId="0" borderId="1" xfId="1" applyFont="1" applyFill="1" applyBorder="1"/>
    <xf numFmtId="44" fontId="36" fillId="0" borderId="0" xfId="0" applyNumberFormat="1" applyFont="1" applyFill="1"/>
    <xf numFmtId="0" fontId="36" fillId="0" borderId="0" xfId="0" applyFont="1" applyFill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1" xfId="0" applyFont="1" applyFill="1" applyBorder="1" applyAlignment="1">
      <alignment horizontal="left"/>
    </xf>
    <xf numFmtId="14" fontId="39" fillId="0" borderId="1" xfId="0" applyNumberFormat="1" applyFont="1" applyFill="1" applyBorder="1" applyAlignment="1">
      <alignment horizontal="center"/>
    </xf>
    <xf numFmtId="0" fontId="39" fillId="0" borderId="1" xfId="0" applyNumberFormat="1" applyFont="1" applyFill="1" applyBorder="1" applyAlignment="1">
      <alignment horizontal="center"/>
    </xf>
    <xf numFmtId="4" fontId="39" fillId="0" borderId="1" xfId="0" applyNumberFormat="1" applyFont="1" applyFill="1" applyBorder="1" applyAlignment="1">
      <alignment horizontal="center"/>
    </xf>
    <xf numFmtId="44" fontId="39" fillId="0" borderId="1" xfId="1" applyFont="1" applyFill="1" applyBorder="1"/>
    <xf numFmtId="44" fontId="39" fillId="0" borderId="0" xfId="0" applyNumberFormat="1" applyFont="1" applyFill="1"/>
    <xf numFmtId="0" fontId="39" fillId="0" borderId="0" xfId="0" applyFont="1" applyFill="1"/>
    <xf numFmtId="0" fontId="4" fillId="0" borderId="2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39" xfId="0" applyFont="1" applyBorder="1" applyAlignment="1">
      <alignment vertical="top" wrapText="1"/>
    </xf>
    <xf numFmtId="0" fontId="4" fillId="0" borderId="6" xfId="0" applyFont="1" applyBorder="1" applyAlignment="1">
      <alignment horizontal="left"/>
    </xf>
    <xf numFmtId="44" fontId="6" fillId="0" borderId="38" xfId="0" applyNumberFormat="1" applyFont="1" applyBorder="1" applyAlignment="1">
      <alignment vertical="top" wrapText="1"/>
    </xf>
    <xf numFmtId="0" fontId="6" fillId="0" borderId="27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0" fillId="0" borderId="0" xfId="0" applyFont="1"/>
    <xf numFmtId="0" fontId="41" fillId="0" borderId="0" xfId="0" applyNumberFormat="1" applyFont="1" applyAlignment="1">
      <alignment horizontal="center"/>
    </xf>
    <xf numFmtId="44" fontId="40" fillId="0" borderId="19" xfId="1" applyFont="1" applyBorder="1"/>
    <xf numFmtId="0" fontId="0" fillId="17" borderId="0" xfId="0" applyFill="1"/>
    <xf numFmtId="0" fontId="0" fillId="17" borderId="0" xfId="0" applyNumberFormat="1" applyFill="1" applyAlignment="1">
      <alignment horizontal="center"/>
    </xf>
    <xf numFmtId="0" fontId="20" fillId="0" borderId="0" xfId="0" applyFont="1" applyFill="1" applyBorder="1" applyAlignment="1"/>
    <xf numFmtId="3" fontId="20" fillId="0" borderId="0" xfId="0" applyNumberFormat="1" applyFont="1" applyFill="1" applyBorder="1" applyAlignment="1"/>
    <xf numFmtId="1" fontId="4" fillId="0" borderId="0" xfId="0" applyNumberFormat="1" applyFont="1"/>
    <xf numFmtId="0" fontId="9" fillId="3" borderId="7" xfId="0" applyFont="1" applyFill="1" applyBorder="1"/>
    <xf numFmtId="0" fontId="9" fillId="0" borderId="0" xfId="0" applyFont="1"/>
    <xf numFmtId="0" fontId="9" fillId="3" borderId="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70" fontId="5" fillId="2" borderId="9" xfId="0" applyNumberFormat="1" applyFont="1" applyFill="1" applyBorder="1"/>
    <xf numFmtId="170" fontId="5" fillId="0" borderId="30" xfId="0" applyNumberFormat="1" applyFont="1" applyBorder="1"/>
    <xf numFmtId="170" fontId="5" fillId="0" borderId="9" xfId="0" applyNumberFormat="1" applyFont="1" applyBorder="1"/>
    <xf numFmtId="2" fontId="0" fillId="0" borderId="29" xfId="0" applyNumberFormat="1" applyBorder="1"/>
    <xf numFmtId="0" fontId="20" fillId="0" borderId="0" xfId="0" applyFont="1" applyFill="1" applyBorder="1" applyAlignment="1">
      <alignment horizontal="center"/>
    </xf>
    <xf numFmtId="172" fontId="4" fillId="0" borderId="0" xfId="0" applyNumberFormat="1" applyFont="1"/>
    <xf numFmtId="172" fontId="9" fillId="0" borderId="0" xfId="0" applyNumberFormat="1" applyFont="1" applyBorder="1"/>
    <xf numFmtId="0" fontId="9" fillId="3" borderId="6" xfId="0" applyFont="1" applyFill="1" applyBorder="1"/>
    <xf numFmtId="172" fontId="9" fillId="3" borderId="7" xfId="0" applyNumberFormat="1" applyFont="1" applyFill="1" applyBorder="1"/>
    <xf numFmtId="172" fontId="9" fillId="3" borderId="8" xfId="0" applyNumberFormat="1" applyFont="1" applyFill="1" applyBorder="1"/>
    <xf numFmtId="44" fontId="9" fillId="3" borderId="0" xfId="0" applyNumberFormat="1" applyFont="1" applyFill="1" applyBorder="1"/>
    <xf numFmtId="10" fontId="9" fillId="0" borderId="0" xfId="2" applyNumberFormat="1" applyFont="1" applyBorder="1"/>
    <xf numFmtId="44" fontId="9" fillId="3" borderId="8" xfId="0" applyNumberFormat="1" applyFont="1" applyFill="1" applyBorder="1"/>
    <xf numFmtId="172" fontId="9" fillId="0" borderId="0" xfId="0" applyNumberFormat="1" applyFont="1"/>
    <xf numFmtId="0" fontId="42" fillId="0" borderId="0" xfId="0" applyFont="1" applyFill="1"/>
    <xf numFmtId="3" fontId="42" fillId="0" borderId="0" xfId="0" applyNumberFormat="1" applyFont="1" applyFill="1"/>
    <xf numFmtId="0" fontId="43" fillId="0" borderId="0" xfId="0" applyFont="1" applyFill="1"/>
    <xf numFmtId="0" fontId="22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/>
    </xf>
    <xf numFmtId="3" fontId="20" fillId="0" borderId="1" xfId="0" applyNumberFormat="1" applyFont="1" applyFill="1" applyBorder="1" applyAlignment="1">
      <alignment horizontal="center"/>
    </xf>
    <xf numFmtId="0" fontId="44" fillId="0" borderId="0" xfId="0" applyFont="1"/>
    <xf numFmtId="0" fontId="21" fillId="0" borderId="1" xfId="0" applyFont="1" applyFill="1" applyBorder="1"/>
    <xf numFmtId="14" fontId="21" fillId="0" borderId="1" xfId="0" applyNumberFormat="1" applyFont="1" applyFill="1" applyBorder="1" applyAlignment="1">
      <alignment horizontal="center"/>
    </xf>
    <xf numFmtId="3" fontId="21" fillId="0" borderId="1" xfId="0" applyNumberFormat="1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10" borderId="1" xfId="0" applyNumberFormat="1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vertical="center"/>
    </xf>
    <xf numFmtId="0" fontId="20" fillId="0" borderId="1" xfId="0" quotePrefix="1" applyNumberFormat="1" applyFont="1" applyFill="1" applyBorder="1" applyAlignment="1">
      <alignment horizontal="center" vertical="center"/>
    </xf>
    <xf numFmtId="0" fontId="45" fillId="11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7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9" fillId="3" borderId="4" xfId="0" applyNumberFormat="1" applyFont="1" applyFill="1" applyBorder="1" applyAlignment="1">
      <alignment horizontal="center"/>
    </xf>
    <xf numFmtId="172" fontId="9" fillId="3" borderId="4" xfId="0" applyNumberFormat="1" applyFont="1" applyFill="1" applyBorder="1"/>
    <xf numFmtId="172" fontId="9" fillId="3" borderId="5" xfId="0" applyNumberFormat="1" applyFont="1" applyFill="1" applyBorder="1"/>
    <xf numFmtId="44" fontId="9" fillId="3" borderId="5" xfId="0" applyNumberFormat="1" applyFont="1" applyFill="1" applyBorder="1"/>
    <xf numFmtId="9" fontId="4" fillId="0" borderId="0" xfId="0" applyNumberFormat="1" applyFont="1"/>
    <xf numFmtId="175" fontId="4" fillId="2" borderId="0" xfId="0" applyNumberFormat="1" applyFont="1" applyFill="1"/>
    <xf numFmtId="3" fontId="4" fillId="2" borderId="0" xfId="0" applyNumberFormat="1" applyFont="1" applyFill="1"/>
    <xf numFmtId="9" fontId="4" fillId="0" borderId="0" xfId="0" applyNumberFormat="1" applyFont="1" applyFill="1"/>
    <xf numFmtId="175" fontId="4" fillId="0" borderId="0" xfId="0" applyNumberFormat="1" applyFont="1" applyFill="1"/>
    <xf numFmtId="164" fontId="4" fillId="0" borderId="0" xfId="0" applyNumberFormat="1" applyFont="1" applyFill="1"/>
    <xf numFmtId="44" fontId="9" fillId="0" borderId="0" xfId="0" applyNumberFormat="1" applyFont="1" applyFill="1" applyBorder="1"/>
    <xf numFmtId="2" fontId="4" fillId="0" borderId="0" xfId="0" applyNumberFormat="1" applyFont="1" applyFill="1"/>
    <xf numFmtId="175" fontId="4" fillId="10" borderId="0" xfId="0" applyNumberFormat="1" applyFont="1" applyFill="1"/>
    <xf numFmtId="0" fontId="9" fillId="4" borderId="6" xfId="0" applyFont="1" applyFill="1" applyBorder="1"/>
    <xf numFmtId="0" fontId="9" fillId="4" borderId="7" xfId="0" applyFont="1" applyFill="1" applyBorder="1"/>
    <xf numFmtId="164" fontId="9" fillId="4" borderId="8" xfId="0" applyNumberFormat="1" applyFont="1" applyFill="1" applyBorder="1"/>
    <xf numFmtId="164" fontId="9" fillId="4" borderId="0" xfId="0" applyNumberFormat="1" applyFont="1" applyFill="1" applyBorder="1"/>
    <xf numFmtId="0" fontId="9" fillId="0" borderId="0" xfId="0" applyFont="1" applyBorder="1"/>
    <xf numFmtId="164" fontId="9" fillId="0" borderId="0" xfId="0" applyNumberFormat="1" applyFont="1" applyBorder="1"/>
    <xf numFmtId="0" fontId="9" fillId="4" borderId="3" xfId="0" applyFont="1" applyFill="1" applyBorder="1"/>
    <xf numFmtId="0" fontId="9" fillId="4" borderId="4" xfId="0" applyFont="1" applyFill="1" applyBorder="1"/>
    <xf numFmtId="164" fontId="9" fillId="4" borderId="5" xfId="0" applyNumberFormat="1" applyFont="1" applyFill="1" applyBorder="1"/>
    <xf numFmtId="0" fontId="9" fillId="5" borderId="3" xfId="0" applyFont="1" applyFill="1" applyBorder="1"/>
    <xf numFmtId="0" fontId="9" fillId="5" borderId="4" xfId="0" applyFont="1" applyFill="1" applyBorder="1"/>
    <xf numFmtId="44" fontId="9" fillId="5" borderId="5" xfId="0" applyNumberFormat="1" applyFont="1" applyFill="1" applyBorder="1"/>
    <xf numFmtId="44" fontId="9" fillId="5" borderId="0" xfId="0" applyNumberFormat="1" applyFont="1" applyFill="1" applyBorder="1"/>
    <xf numFmtId="0" fontId="4" fillId="0" borderId="0" xfId="0" applyFont="1" applyAlignment="1">
      <alignment wrapText="1"/>
    </xf>
    <xf numFmtId="0" fontId="9" fillId="0" borderId="3" xfId="0" applyFont="1" applyBorder="1"/>
    <xf numFmtId="0" fontId="9" fillId="0" borderId="4" xfId="0" applyFont="1" applyBorder="1"/>
    <xf numFmtId="44" fontId="9" fillId="0" borderId="5" xfId="0" applyNumberFormat="1" applyFont="1" applyBorder="1"/>
    <xf numFmtId="172" fontId="9" fillId="0" borderId="5" xfId="0" applyNumberFormat="1" applyFont="1" applyBorder="1"/>
    <xf numFmtId="174" fontId="4" fillId="0" borderId="0" xfId="0" applyNumberFormat="1" applyFont="1"/>
    <xf numFmtId="9" fontId="9" fillId="0" borderId="0" xfId="0" applyNumberFormat="1" applyFont="1" applyBorder="1"/>
    <xf numFmtId="0" fontId="22" fillId="0" borderId="1" xfId="0" applyFont="1" applyBorder="1" applyAlignment="1">
      <alignment wrapText="1"/>
    </xf>
    <xf numFmtId="172" fontId="4" fillId="0" borderId="0" xfId="0" applyNumberFormat="1" applyFont="1" applyFill="1"/>
    <xf numFmtId="170" fontId="4" fillId="2" borderId="0" xfId="0" applyNumberFormat="1" applyFont="1" applyFill="1"/>
    <xf numFmtId="170" fontId="4" fillId="10" borderId="0" xfId="0" applyNumberFormat="1" applyFont="1" applyFill="1"/>
    <xf numFmtId="170" fontId="4" fillId="0" borderId="0" xfId="0" applyNumberFormat="1" applyFont="1" applyFill="1"/>
    <xf numFmtId="170" fontId="4" fillId="0" borderId="0" xfId="0" applyNumberFormat="1" applyFont="1"/>
    <xf numFmtId="44" fontId="4" fillId="0" borderId="0" xfId="1" applyFont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20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172" fontId="9" fillId="0" borderId="0" xfId="0" applyNumberFormat="1" applyFont="1" applyFill="1" applyBorder="1"/>
    <xf numFmtId="170" fontId="9" fillId="4" borderId="7" xfId="0" applyNumberFormat="1" applyFont="1" applyFill="1" applyBorder="1"/>
    <xf numFmtId="173" fontId="9" fillId="4" borderId="8" xfId="0" applyNumberFormat="1" applyFont="1" applyFill="1" applyBorder="1"/>
    <xf numFmtId="170" fontId="9" fillId="0" borderId="0" xfId="0" applyNumberFormat="1" applyFont="1" applyBorder="1"/>
    <xf numFmtId="173" fontId="9" fillId="0" borderId="0" xfId="0" applyNumberFormat="1" applyFont="1" applyBorder="1"/>
    <xf numFmtId="172" fontId="4" fillId="0" borderId="0" xfId="1" applyNumberFormat="1" applyFont="1" applyFill="1"/>
    <xf numFmtId="172" fontId="4" fillId="0" borderId="0" xfId="1" applyNumberFormat="1" applyFont="1"/>
    <xf numFmtId="164" fontId="9" fillId="5" borderId="5" xfId="0" applyNumberFormat="1" applyFont="1" applyFill="1" applyBorder="1"/>
    <xf numFmtId="0" fontId="30" fillId="12" borderId="0" xfId="0" quotePrefix="1" applyFont="1" applyFill="1" applyBorder="1" applyAlignment="1" applyProtection="1">
      <alignment vertical="center" wrapText="1"/>
      <protection hidden="1"/>
    </xf>
    <xf numFmtId="164" fontId="29" fillId="0" borderId="0" xfId="0" applyNumberFormat="1" applyFont="1" applyBorder="1" applyAlignment="1" applyProtection="1">
      <alignment horizontal="center" vertical="center"/>
      <protection hidden="1"/>
    </xf>
    <xf numFmtId="0" fontId="29" fillId="0" borderId="18" xfId="0" quotePrefix="1" applyFont="1" applyFill="1" applyBorder="1" applyAlignment="1" applyProtection="1">
      <alignment horizontal="left" vertical="center" wrapText="1"/>
      <protection hidden="1"/>
    </xf>
    <xf numFmtId="0" fontId="30" fillId="12" borderId="15" xfId="0" quotePrefix="1" applyFont="1" applyFill="1" applyBorder="1" applyAlignment="1" applyProtection="1">
      <alignment vertical="center" wrapText="1"/>
      <protection hidden="1"/>
    </xf>
    <xf numFmtId="164" fontId="30" fillId="0" borderId="15" xfId="0" applyNumberFormat="1" applyFont="1" applyBorder="1" applyAlignment="1" applyProtection="1">
      <alignment vertical="center"/>
      <protection hidden="1"/>
    </xf>
    <xf numFmtId="164" fontId="30" fillId="0" borderId="14" xfId="0" applyNumberFormat="1" applyFont="1" applyBorder="1" applyAlignment="1" applyProtection="1">
      <alignment vertical="center"/>
      <protection hidden="1"/>
    </xf>
    <xf numFmtId="0" fontId="30" fillId="12" borderId="33" xfId="0" quotePrefix="1" applyFont="1" applyFill="1" applyBorder="1" applyAlignment="1" applyProtection="1">
      <alignment vertical="center" wrapText="1"/>
      <protection hidden="1"/>
    </xf>
    <xf numFmtId="164" fontId="29" fillId="15" borderId="37" xfId="0" applyNumberFormat="1" applyFont="1" applyFill="1" applyBorder="1" applyAlignment="1" applyProtection="1">
      <alignment vertical="center"/>
      <protection hidden="1"/>
    </xf>
    <xf numFmtId="164" fontId="31" fillId="15" borderId="18" xfId="0" applyNumberFormat="1" applyFont="1" applyFill="1" applyBorder="1" applyAlignment="1" applyProtection="1">
      <alignment horizontal="right" vertical="center"/>
      <protection hidden="1"/>
    </xf>
    <xf numFmtId="164" fontId="29" fillId="15" borderId="14" xfId="0" applyNumberFormat="1" applyFont="1" applyFill="1" applyBorder="1" applyAlignment="1" applyProtection="1">
      <alignment vertical="center"/>
      <protection hidden="1"/>
    </xf>
    <xf numFmtId="164" fontId="30" fillId="12" borderId="15" xfId="0" quotePrefix="1" applyNumberFormat="1" applyFont="1" applyFill="1" applyBorder="1" applyAlignment="1" applyProtection="1">
      <alignment vertical="center" wrapText="1"/>
      <protection hidden="1"/>
    </xf>
    <xf numFmtId="0" fontId="0" fillId="0" borderId="33" xfId="0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vertical="center"/>
      <protection hidden="1"/>
    </xf>
    <xf numFmtId="164" fontId="29" fillId="15" borderId="18" xfId="0" applyNumberFormat="1" applyFont="1" applyFill="1" applyBorder="1" applyAlignment="1" applyProtection="1">
      <alignment horizontal="right" vertical="center"/>
      <protection hidden="1"/>
    </xf>
    <xf numFmtId="164" fontId="29" fillId="15" borderId="5" xfId="0" applyNumberFormat="1" applyFont="1" applyFill="1" applyBorder="1" applyAlignment="1" applyProtection="1">
      <alignment vertical="center"/>
      <protection hidden="1"/>
    </xf>
    <xf numFmtId="2" fontId="28" fillId="0" borderId="0" xfId="0" applyNumberFormat="1" applyFont="1" applyBorder="1" applyAlignment="1" applyProtection="1">
      <alignment vertical="center"/>
      <protection hidden="1"/>
    </xf>
    <xf numFmtId="0" fontId="30" fillId="0" borderId="39" xfId="0" applyFont="1" applyBorder="1" applyAlignment="1" applyProtection="1">
      <alignment vertical="center"/>
      <protection hidden="1"/>
    </xf>
    <xf numFmtId="0" fontId="28" fillId="0" borderId="48" xfId="0" applyFont="1" applyBorder="1" applyAlignment="1" applyProtection="1">
      <alignment vertical="center"/>
      <protection hidden="1"/>
    </xf>
    <xf numFmtId="164" fontId="29" fillId="15" borderId="20" xfId="4" applyNumberFormat="1" applyFont="1" applyFill="1" applyBorder="1" applyAlignment="1" applyProtection="1">
      <alignment vertical="center"/>
      <protection hidden="1"/>
    </xf>
    <xf numFmtId="164" fontId="31" fillId="0" borderId="20" xfId="0" applyNumberFormat="1" applyFont="1" applyBorder="1" applyAlignment="1" applyProtection="1">
      <alignment horizontal="left" vertical="center"/>
      <protection hidden="1"/>
    </xf>
    <xf numFmtId="164" fontId="29" fillId="15" borderId="43" xfId="0" applyNumberFormat="1" applyFont="1" applyFill="1" applyBorder="1" applyAlignment="1" applyProtection="1">
      <alignment vertical="center"/>
      <protection hidden="1"/>
    </xf>
    <xf numFmtId="0" fontId="30" fillId="0" borderId="40" xfId="0" applyFont="1" applyBorder="1" applyAlignment="1" applyProtection="1">
      <alignment vertical="center"/>
      <protection hidden="1"/>
    </xf>
    <xf numFmtId="9" fontId="30" fillId="0" borderId="8" xfId="2" applyFont="1" applyBorder="1" applyAlignment="1" applyProtection="1">
      <alignment vertical="center"/>
      <protection hidden="1"/>
    </xf>
    <xf numFmtId="164" fontId="30" fillId="0" borderId="1" xfId="4" applyNumberFormat="1" applyFont="1" applyBorder="1" applyAlignment="1" applyProtection="1">
      <alignment vertical="center"/>
      <protection hidden="1"/>
    </xf>
    <xf numFmtId="0" fontId="48" fillId="0" borderId="41" xfId="0" applyFont="1" applyBorder="1" applyAlignment="1" applyProtection="1">
      <alignment vertical="center"/>
      <protection hidden="1"/>
    </xf>
    <xf numFmtId="0" fontId="49" fillId="0" borderId="50" xfId="0" applyFont="1" applyBorder="1" applyAlignment="1" applyProtection="1">
      <alignment vertical="center"/>
      <protection hidden="1"/>
    </xf>
    <xf numFmtId="164" fontId="48" fillId="15" borderId="51" xfId="4" applyNumberFormat="1" applyFont="1" applyFill="1" applyBorder="1" applyAlignment="1" applyProtection="1">
      <alignment vertical="center"/>
      <protection hidden="1"/>
    </xf>
    <xf numFmtId="164" fontId="49" fillId="0" borderId="18" xfId="0" applyNumberFormat="1" applyFont="1" applyBorder="1" applyAlignment="1" applyProtection="1">
      <alignment horizontal="left" vertical="center"/>
      <protection hidden="1"/>
    </xf>
    <xf numFmtId="164" fontId="48" fillId="0" borderId="14" xfId="0" applyNumberFormat="1" applyFont="1" applyBorder="1" applyAlignment="1" applyProtection="1">
      <alignment vertical="center"/>
      <protection hidden="1"/>
    </xf>
    <xf numFmtId="164" fontId="28" fillId="0" borderId="34" xfId="0" applyNumberFormat="1" applyFont="1" applyBorder="1" applyAlignment="1" applyProtection="1">
      <alignment vertical="center"/>
      <protection hidden="1"/>
    </xf>
    <xf numFmtId="0" fontId="28" fillId="0" borderId="33" xfId="0" applyFont="1" applyBorder="1" applyAlignment="1" applyProtection="1">
      <alignment vertical="center"/>
      <protection hidden="1"/>
    </xf>
    <xf numFmtId="164" fontId="29" fillId="0" borderId="34" xfId="0" applyNumberFormat="1" applyFont="1" applyBorder="1" applyProtection="1">
      <protection hidden="1"/>
    </xf>
    <xf numFmtId="0" fontId="0" fillId="0" borderId="0" xfId="0" applyFill="1" applyProtection="1"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2" fontId="28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46" fillId="0" borderId="18" xfId="0" applyFont="1" applyBorder="1" applyAlignment="1" applyProtection="1">
      <alignment horizontal="left" vertical="center" wrapText="1"/>
      <protection hidden="1"/>
    </xf>
    <xf numFmtId="0" fontId="47" fillId="0" borderId="33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Protection="1">
      <protection hidden="1"/>
    </xf>
    <xf numFmtId="44" fontId="19" fillId="0" borderId="0" xfId="0" applyNumberFormat="1" applyFont="1" applyProtection="1">
      <protection hidden="1"/>
    </xf>
    <xf numFmtId="0" fontId="0" fillId="0" borderId="35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37" xfId="0" applyBorder="1" applyProtection="1">
      <protection hidden="1"/>
    </xf>
    <xf numFmtId="44" fontId="0" fillId="0" borderId="0" xfId="0" applyNumberFormat="1" applyProtection="1">
      <protection hidden="1"/>
    </xf>
    <xf numFmtId="0" fontId="0" fillId="0" borderId="0" xfId="0" applyBorder="1" applyProtection="1">
      <protection locked="0" hidden="1"/>
    </xf>
    <xf numFmtId="0" fontId="31" fillId="0" borderId="3" xfId="0" applyFont="1" applyBorder="1" applyAlignment="1" applyProtection="1">
      <alignment horizontal="right" vertical="center"/>
      <protection hidden="1"/>
    </xf>
    <xf numFmtId="164" fontId="31" fillId="15" borderId="14" xfId="0" applyNumberFormat="1" applyFont="1" applyFill="1" applyBorder="1" applyAlignment="1" applyProtection="1">
      <alignment vertical="center"/>
      <protection hidden="1"/>
    </xf>
    <xf numFmtId="164" fontId="31" fillId="0" borderId="5" xfId="0" applyNumberFormat="1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0" fillId="0" borderId="25" xfId="0" applyFont="1" applyBorder="1" applyAlignment="1" applyProtection="1">
      <alignment vertical="center" wrapText="1"/>
      <protection hidden="1"/>
    </xf>
    <xf numFmtId="0" fontId="29" fillId="13" borderId="52" xfId="0" applyFont="1" applyFill="1" applyBorder="1" applyAlignment="1" applyProtection="1">
      <alignment wrapText="1"/>
      <protection hidden="1"/>
    </xf>
    <xf numFmtId="0" fontId="29" fillId="13" borderId="20" xfId="0" applyFont="1" applyFill="1" applyBorder="1" applyAlignment="1" applyProtection="1">
      <alignment vertical="center" wrapText="1"/>
      <protection hidden="1"/>
    </xf>
    <xf numFmtId="0" fontId="29" fillId="13" borderId="20" xfId="0" applyFont="1" applyFill="1" applyBorder="1" applyAlignment="1" applyProtection="1">
      <alignment horizontal="center" vertical="center" wrapText="1"/>
      <protection hidden="1"/>
    </xf>
    <xf numFmtId="2" fontId="29" fillId="13" borderId="20" xfId="0" applyNumberFormat="1" applyFont="1" applyFill="1" applyBorder="1" applyAlignment="1" applyProtection="1">
      <alignment horizontal="center" vertical="center" wrapText="1"/>
      <protection hidden="1"/>
    </xf>
    <xf numFmtId="0" fontId="29" fillId="13" borderId="53" xfId="0" applyFont="1" applyFill="1" applyBorder="1" applyAlignment="1" applyProtection="1">
      <alignment horizontal="center" vertical="center" wrapText="1"/>
      <protection hidden="1"/>
    </xf>
    <xf numFmtId="0" fontId="50" fillId="0" borderId="0" xfId="0" applyFont="1" applyBorder="1" applyProtection="1">
      <protection hidden="1"/>
    </xf>
    <xf numFmtId="164" fontId="29" fillId="0" borderId="25" xfId="0" applyNumberFormat="1" applyFont="1" applyBorder="1" applyAlignment="1" applyProtection="1">
      <alignment horizontal="right" vertical="center"/>
      <protection hidden="1"/>
    </xf>
    <xf numFmtId="164" fontId="29" fillId="0" borderId="25" xfId="0" applyNumberFormat="1" applyFont="1" applyFill="1" applyBorder="1" applyAlignment="1" applyProtection="1">
      <alignment vertical="center"/>
      <protection hidden="1"/>
    </xf>
    <xf numFmtId="164" fontId="31" fillId="0" borderId="46" xfId="0" applyNumberFormat="1" applyFont="1" applyFill="1" applyBorder="1" applyAlignment="1" applyProtection="1">
      <alignment horizontal="right" vertical="center"/>
      <protection hidden="1"/>
    </xf>
    <xf numFmtId="164" fontId="29" fillId="0" borderId="54" xfId="0" applyNumberFormat="1" applyFont="1" applyFill="1" applyBorder="1" applyAlignment="1" applyProtection="1">
      <alignment vertical="center"/>
      <protection hidden="1"/>
    </xf>
    <xf numFmtId="164" fontId="28" fillId="18" borderId="15" xfId="0" applyNumberFormat="1" applyFont="1" applyFill="1" applyBorder="1" applyAlignment="1" applyProtection="1">
      <alignment vertical="center"/>
      <protection locked="0" hidden="1"/>
    </xf>
    <xf numFmtId="10" fontId="28" fillId="18" borderId="16" xfId="0" applyNumberFormat="1" applyFont="1" applyFill="1" applyBorder="1" applyAlignment="1" applyProtection="1">
      <alignment horizontal="right" vertical="center"/>
      <protection locked="0" hidden="1"/>
    </xf>
    <xf numFmtId="164" fontId="29" fillId="0" borderId="46" xfId="0" applyNumberFormat="1" applyFon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64" fontId="31" fillId="0" borderId="25" xfId="1" applyNumberFormat="1" applyFont="1" applyFill="1" applyBorder="1" applyAlignment="1" applyProtection="1">
      <alignment vertical="center"/>
      <protection hidden="1"/>
    </xf>
    <xf numFmtId="164" fontId="29" fillId="0" borderId="25" xfId="0" applyNumberFormat="1" applyFont="1" applyFill="1" applyBorder="1" applyAlignment="1" applyProtection="1">
      <alignment horizontal="right" vertical="center"/>
      <protection hidden="1"/>
    </xf>
    <xf numFmtId="164" fontId="29" fillId="0" borderId="37" xfId="0" applyNumberFormat="1" applyFont="1" applyFill="1" applyBorder="1" applyAlignment="1" applyProtection="1">
      <alignment vertical="center"/>
      <protection hidden="1"/>
    </xf>
    <xf numFmtId="3" fontId="30" fillId="12" borderId="18" xfId="0" quotePrefix="1" applyNumberFormat="1" applyFont="1" applyFill="1" applyBorder="1" applyAlignment="1" applyProtection="1">
      <alignment vertical="center" wrapText="1"/>
      <protection hidden="1"/>
    </xf>
    <xf numFmtId="164" fontId="31" fillId="15" borderId="14" xfId="1" applyNumberFormat="1" applyFont="1" applyFill="1" applyBorder="1" applyAlignment="1" applyProtection="1">
      <alignment vertical="center"/>
      <protection hidden="1"/>
    </xf>
    <xf numFmtId="0" fontId="0" fillId="0" borderId="34" xfId="0" applyBorder="1" applyAlignment="1" applyProtection="1">
      <alignment vertical="center"/>
      <protection hidden="1"/>
    </xf>
    <xf numFmtId="44" fontId="30" fillId="0" borderId="49" xfId="4" applyNumberFormat="1" applyFont="1" applyBorder="1" applyAlignment="1" applyProtection="1">
      <alignment horizontal="right" vertical="center"/>
      <protection hidden="1"/>
    </xf>
    <xf numFmtId="0" fontId="30" fillId="12" borderId="15" xfId="0" quotePrefix="1" applyFont="1" applyFill="1" applyBorder="1" applyAlignment="1" applyProtection="1">
      <alignment horizontal="center" vertical="center" wrapText="1"/>
      <protection hidden="1"/>
    </xf>
    <xf numFmtId="0" fontId="30" fillId="12" borderId="55" xfId="0" quotePrefix="1" applyFont="1" applyFill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center" wrapText="1"/>
    </xf>
    <xf numFmtId="0" fontId="20" fillId="11" borderId="7" xfId="0" applyFont="1" applyFill="1" applyBorder="1" applyAlignment="1">
      <alignment horizontal="center" wrapText="1"/>
    </xf>
    <xf numFmtId="0" fontId="20" fillId="11" borderId="8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14" fontId="21" fillId="0" borderId="6" xfId="0" applyNumberFormat="1" applyFont="1" applyFill="1" applyBorder="1" applyAlignment="1">
      <alignment horizontal="center"/>
    </xf>
    <xf numFmtId="14" fontId="21" fillId="0" borderId="8" xfId="0" applyNumberFormat="1" applyFont="1" applyFill="1" applyBorder="1" applyAlignment="1">
      <alignment horizontal="center"/>
    </xf>
    <xf numFmtId="164" fontId="29" fillId="0" borderId="3" xfId="0" applyNumberFormat="1" applyFont="1" applyBorder="1" applyAlignment="1" applyProtection="1">
      <alignment horizontal="center" vertical="center"/>
      <protection hidden="1"/>
    </xf>
    <xf numFmtId="164" fontId="29" fillId="0" borderId="47" xfId="0" applyNumberFormat="1" applyFont="1" applyBorder="1" applyAlignment="1" applyProtection="1">
      <alignment horizontal="center" vertical="center"/>
      <protection hidden="1"/>
    </xf>
    <xf numFmtId="164" fontId="29" fillId="0" borderId="6" xfId="0" applyNumberFormat="1" applyFont="1" applyBorder="1" applyAlignment="1" applyProtection="1">
      <alignment horizontal="right"/>
      <protection hidden="1"/>
    </xf>
    <xf numFmtId="164" fontId="29" fillId="0" borderId="8" xfId="0" applyNumberFormat="1" applyFont="1" applyBorder="1" applyAlignment="1" applyProtection="1">
      <alignment horizontal="right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  <xf numFmtId="0" fontId="0" fillId="0" borderId="47" xfId="0" applyBorder="1" applyAlignment="1">
      <alignment vertical="center"/>
    </xf>
    <xf numFmtId="0" fontId="0" fillId="0" borderId="47" xfId="0" applyBorder="1" applyAlignment="1">
      <alignment horizontal="center" vertical="center"/>
    </xf>
  </cellXfs>
  <cellStyles count="5">
    <cellStyle name="Coma" xfId="4" builtinId="3"/>
    <cellStyle name="Moneda" xfId="1" builtinId="4"/>
    <cellStyle name="Normal" xfId="0" builtinId="0"/>
    <cellStyle name="Normal 2" xfId="3"/>
    <cellStyle name="Percentatg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</dxf>
    <dxf>
      <font>
        <b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  <numFmt numFmtId="16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NPro-Regula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_);\(#,##0\)"/>
    </dxf>
  </dxfs>
  <tableStyles count="0" defaultTableStyle="TableStyleMedium2" defaultPivotStyle="PivotStyleLight16"/>
  <colors>
    <mruColors>
      <color rgb="FFFFE1FF"/>
      <color rgb="FFFFB9FF"/>
      <color rgb="FFFFCCFF"/>
      <color rgb="FFFFFFE1"/>
      <color rgb="FFFFEA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533256</xdr:colOff>
      <xdr:row>21</xdr:row>
      <xdr:rowOff>9524</xdr:rowOff>
    </xdr:from>
    <xdr:to>
      <xdr:col>19</xdr:col>
      <xdr:colOff>522719</xdr:colOff>
      <xdr:row>37</xdr:row>
      <xdr:rowOff>133349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25131" y="4476749"/>
          <a:ext cx="6952238" cy="317182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19</xdr:col>
      <xdr:colOff>151602</xdr:colOff>
      <xdr:row>52</xdr:row>
      <xdr:rowOff>75952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5300" y="8467725"/>
          <a:ext cx="6380952" cy="1980952"/>
        </a:xfrm>
        <a:prstGeom prst="rect">
          <a:avLst/>
        </a:prstGeom>
      </xdr:spPr>
    </xdr:pic>
    <xdr:clientData/>
  </xdr:twoCellAnchor>
  <xdr:twoCellAnchor editAs="oneCell">
    <xdr:from>
      <xdr:col>20</xdr:col>
      <xdr:colOff>546100</xdr:colOff>
      <xdr:row>22</xdr:row>
      <xdr:rowOff>165100</xdr:rowOff>
    </xdr:from>
    <xdr:to>
      <xdr:col>27</xdr:col>
      <xdr:colOff>247936</xdr:colOff>
      <xdr:row>42</xdr:row>
      <xdr:rowOff>19232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97900" y="4699000"/>
          <a:ext cx="5569236" cy="3537132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23</xdr:row>
      <xdr:rowOff>0</xdr:rowOff>
    </xdr:from>
    <xdr:to>
      <xdr:col>38</xdr:col>
      <xdr:colOff>114525</xdr:colOff>
      <xdr:row>36</xdr:row>
      <xdr:rowOff>177932</xdr:rowOff>
    </xdr:to>
    <xdr:pic>
      <xdr:nvPicPr>
        <xdr:cNvPr id="5" name="Imat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457400" y="4718050"/>
          <a:ext cx="4381725" cy="25718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106</xdr:row>
      <xdr:rowOff>85725</xdr:rowOff>
    </xdr:from>
    <xdr:to>
      <xdr:col>6</xdr:col>
      <xdr:colOff>752475</xdr:colOff>
      <xdr:row>116</xdr:row>
      <xdr:rowOff>180975</xdr:rowOff>
    </xdr:to>
    <xdr:pic>
      <xdr:nvPicPr>
        <xdr:cNvPr id="2" name="Imatge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22259925"/>
          <a:ext cx="467677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106</xdr:row>
      <xdr:rowOff>85725</xdr:rowOff>
    </xdr:from>
    <xdr:to>
      <xdr:col>6</xdr:col>
      <xdr:colOff>752475</xdr:colOff>
      <xdr:row>116</xdr:row>
      <xdr:rowOff>180975</xdr:rowOff>
    </xdr:to>
    <xdr:pic>
      <xdr:nvPicPr>
        <xdr:cNvPr id="2" name="Imatge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22259925"/>
          <a:ext cx="467677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106</xdr:row>
      <xdr:rowOff>85725</xdr:rowOff>
    </xdr:from>
    <xdr:to>
      <xdr:col>6</xdr:col>
      <xdr:colOff>752475</xdr:colOff>
      <xdr:row>116</xdr:row>
      <xdr:rowOff>180975</xdr:rowOff>
    </xdr:to>
    <xdr:pic>
      <xdr:nvPicPr>
        <xdr:cNvPr id="2" name="Imatge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22259925"/>
          <a:ext cx="467677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106</xdr:row>
      <xdr:rowOff>85725</xdr:rowOff>
    </xdr:from>
    <xdr:to>
      <xdr:col>6</xdr:col>
      <xdr:colOff>752475</xdr:colOff>
      <xdr:row>116</xdr:row>
      <xdr:rowOff>180975</xdr:rowOff>
    </xdr:to>
    <xdr:pic>
      <xdr:nvPicPr>
        <xdr:cNvPr id="2" name="Imatge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22259925"/>
          <a:ext cx="467677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69850</xdr:colOff>
      <xdr:row>14</xdr:row>
      <xdr:rowOff>76202</xdr:rowOff>
    </xdr:from>
    <xdr:to>
      <xdr:col>6</xdr:col>
      <xdr:colOff>349250</xdr:colOff>
      <xdr:row>27</xdr:row>
      <xdr:rowOff>159212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9150" y="6584952"/>
          <a:ext cx="5156200" cy="2661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206376</xdr:colOff>
      <xdr:row>42</xdr:row>
      <xdr:rowOff>57149</xdr:rowOff>
    </xdr:from>
    <xdr:to>
      <xdr:col>40</xdr:col>
      <xdr:colOff>172908</xdr:colOff>
      <xdr:row>58</xdr:row>
      <xdr:rowOff>181855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58126" y="8224837"/>
          <a:ext cx="7300782" cy="3045706"/>
        </a:xfrm>
        <a:prstGeom prst="rect">
          <a:avLst/>
        </a:prstGeom>
      </xdr:spPr>
    </xdr:pic>
    <xdr:clientData/>
  </xdr:twoCellAnchor>
  <xdr:twoCellAnchor editAs="oneCell">
    <xdr:from>
      <xdr:col>10</xdr:col>
      <xdr:colOff>777875</xdr:colOff>
      <xdr:row>47</xdr:row>
      <xdr:rowOff>150813</xdr:rowOff>
    </xdr:from>
    <xdr:to>
      <xdr:col>27</xdr:col>
      <xdr:colOff>358857</xdr:colOff>
      <xdr:row>58</xdr:row>
      <xdr:rowOff>44201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65125" y="9231313"/>
          <a:ext cx="6685045" cy="1901576"/>
        </a:xfrm>
        <a:prstGeom prst="rect">
          <a:avLst/>
        </a:prstGeom>
      </xdr:spPr>
    </xdr:pic>
    <xdr:clientData/>
  </xdr:twoCellAnchor>
  <xdr:twoCellAnchor editAs="oneCell">
    <xdr:from>
      <xdr:col>10</xdr:col>
      <xdr:colOff>705733</xdr:colOff>
      <xdr:row>20</xdr:row>
      <xdr:rowOff>62793</xdr:rowOff>
    </xdr:from>
    <xdr:to>
      <xdr:col>28</xdr:col>
      <xdr:colOff>115863</xdr:colOff>
      <xdr:row>46</xdr:row>
      <xdr:rowOff>31750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92983" y="4206168"/>
          <a:ext cx="7514318" cy="4723520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23</xdr:row>
      <xdr:rowOff>0</xdr:rowOff>
    </xdr:from>
    <xdr:to>
      <xdr:col>38</xdr:col>
      <xdr:colOff>114523</xdr:colOff>
      <xdr:row>36</xdr:row>
      <xdr:rowOff>170876</xdr:rowOff>
    </xdr:to>
    <xdr:pic>
      <xdr:nvPicPr>
        <xdr:cNvPr id="5" name="Imat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444950" y="4718050"/>
          <a:ext cx="4381725" cy="257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0</xdr:rowOff>
    </xdr:from>
    <xdr:to>
      <xdr:col>19</xdr:col>
      <xdr:colOff>533625</xdr:colOff>
      <xdr:row>36</xdr:row>
      <xdr:rowOff>76332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2850" y="4337050"/>
          <a:ext cx="4381725" cy="25718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16</xdr:row>
      <xdr:rowOff>0</xdr:rowOff>
    </xdr:from>
    <xdr:to>
      <xdr:col>8</xdr:col>
      <xdr:colOff>27064</xdr:colOff>
      <xdr:row>37</xdr:row>
      <xdr:rowOff>123825</xdr:rowOff>
    </xdr:to>
    <xdr:pic>
      <xdr:nvPicPr>
        <xdr:cNvPr id="2" name="Imatge 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2971800"/>
          <a:ext cx="8675765" cy="412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342900</xdr:colOff>
      <xdr:row>15</xdr:row>
      <xdr:rowOff>157691</xdr:rowOff>
    </xdr:from>
    <xdr:to>
      <xdr:col>19</xdr:col>
      <xdr:colOff>222250</xdr:colOff>
      <xdr:row>26</xdr:row>
      <xdr:rowOff>61734</xdr:rowOff>
    </xdr:to>
    <xdr:pic>
      <xdr:nvPicPr>
        <xdr:cNvPr id="3" name="Imatge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3021541"/>
          <a:ext cx="5314950" cy="1929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329142</xdr:colOff>
      <xdr:row>27</xdr:row>
      <xdr:rowOff>158750</xdr:rowOff>
    </xdr:from>
    <xdr:to>
      <xdr:col>23</xdr:col>
      <xdr:colOff>18340</xdr:colOff>
      <xdr:row>40</xdr:row>
      <xdr:rowOff>57268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35042" y="5232400"/>
          <a:ext cx="6775798" cy="22924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196850</xdr:colOff>
      <xdr:row>28</xdr:row>
      <xdr:rowOff>165100</xdr:rowOff>
    </xdr:from>
    <xdr:to>
      <xdr:col>20</xdr:col>
      <xdr:colOff>222250</xdr:colOff>
      <xdr:row>33</xdr:row>
      <xdr:rowOff>133350</xdr:rowOff>
    </xdr:to>
    <xdr:sp macro="" textlink="">
      <xdr:nvSpPr>
        <xdr:cNvPr id="2" name="Fletxa dreta 1"/>
        <xdr:cNvSpPr/>
      </xdr:nvSpPr>
      <xdr:spPr>
        <a:xfrm rot="10800000">
          <a:off x="13976350" y="5321300"/>
          <a:ext cx="1854200" cy="908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11</xdr:row>
      <xdr:rowOff>120650</xdr:rowOff>
    </xdr:from>
    <xdr:to>
      <xdr:col>12</xdr:col>
      <xdr:colOff>88900</xdr:colOff>
      <xdr:row>16</xdr:row>
      <xdr:rowOff>107950</xdr:rowOff>
    </xdr:to>
    <xdr:sp macro="" textlink="">
      <xdr:nvSpPr>
        <xdr:cNvPr id="2" name="Fletxa dreta 1"/>
        <xdr:cNvSpPr/>
      </xdr:nvSpPr>
      <xdr:spPr>
        <a:xfrm rot="10800000">
          <a:off x="10267950" y="2514600"/>
          <a:ext cx="1422400" cy="908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106</xdr:row>
      <xdr:rowOff>85725</xdr:rowOff>
    </xdr:from>
    <xdr:to>
      <xdr:col>6</xdr:col>
      <xdr:colOff>752475</xdr:colOff>
      <xdr:row>116</xdr:row>
      <xdr:rowOff>180975</xdr:rowOff>
    </xdr:to>
    <xdr:pic>
      <xdr:nvPicPr>
        <xdr:cNvPr id="2" name="Imatge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9240500"/>
          <a:ext cx="467677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106</xdr:row>
      <xdr:rowOff>85725</xdr:rowOff>
    </xdr:from>
    <xdr:to>
      <xdr:col>6</xdr:col>
      <xdr:colOff>752475</xdr:colOff>
      <xdr:row>116</xdr:row>
      <xdr:rowOff>180975</xdr:rowOff>
    </xdr:to>
    <xdr:pic>
      <xdr:nvPicPr>
        <xdr:cNvPr id="2" name="Imatge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22259925"/>
          <a:ext cx="467677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114354\Downloads\personal%20a%20subrogar%20Vitarest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OTA\DPQI\6.%20COSTOS%20DE%20SERVEIS\2021\CTE.%20HABITATGES%20AMB%20SERVEIS_2022_Ester%20Quintana\Definitiu\Proposta%20HAB%20GG%20LOT1%202022-2025%2018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R 9153"/>
      <sheetName val="PAlleja"/>
      <sheetName val="resumen"/>
    </sheetNames>
    <sheetDataSet>
      <sheetData sheetId="0"/>
      <sheetData sheetId="1">
        <row r="3">
          <cell r="C3" t="str">
            <v>AMA</v>
          </cell>
          <cell r="D3">
            <v>100</v>
          </cell>
          <cell r="H3">
            <v>32664</v>
          </cell>
          <cell r="S3" t="str">
            <v>CE Rest Colect</v>
          </cell>
          <cell r="V3" t="str">
            <v>COCINERO (SC)</v>
          </cell>
          <cell r="Z3">
            <v>40</v>
          </cell>
          <cell r="AA3">
            <v>100</v>
          </cell>
        </row>
        <row r="4">
          <cell r="C4" t="str">
            <v>BRJA</v>
          </cell>
          <cell r="D4">
            <v>100</v>
          </cell>
          <cell r="H4">
            <v>35310</v>
          </cell>
          <cell r="S4" t="str">
            <v>CE Rest Colect</v>
          </cell>
          <cell r="V4" t="str">
            <v>COCINERO (SC)</v>
          </cell>
          <cell r="Z4">
            <v>40</v>
          </cell>
          <cell r="AA4">
            <v>100</v>
          </cell>
        </row>
        <row r="5">
          <cell r="C5" t="str">
            <v>SP</v>
          </cell>
          <cell r="D5">
            <v>100</v>
          </cell>
          <cell r="H5">
            <v>40094</v>
          </cell>
          <cell r="S5" t="str">
            <v>CE Rest Colect</v>
          </cell>
          <cell r="V5" t="str">
            <v>JEFE DE PARTIDA</v>
          </cell>
          <cell r="Z5">
            <v>40</v>
          </cell>
          <cell r="AA5">
            <v>100</v>
          </cell>
        </row>
        <row r="6">
          <cell r="C6" t="str">
            <v>SGAM</v>
          </cell>
          <cell r="D6">
            <v>200</v>
          </cell>
          <cell r="H6">
            <v>41975</v>
          </cell>
          <cell r="S6" t="str">
            <v>CE Rest Colect</v>
          </cell>
          <cell r="V6" t="str">
            <v>AUX.SERV.LIMP</v>
          </cell>
          <cell r="Z6">
            <v>35</v>
          </cell>
          <cell r="AA6">
            <v>87.5</v>
          </cell>
        </row>
        <row r="7">
          <cell r="C7" t="str">
            <v>MSJL</v>
          </cell>
          <cell r="D7">
            <v>100</v>
          </cell>
          <cell r="H7">
            <v>41450</v>
          </cell>
          <cell r="S7" t="str">
            <v>CE Rest Colect</v>
          </cell>
          <cell r="V7" t="str">
            <v>AUX.SERV.LIMP</v>
          </cell>
          <cell r="Z7">
            <v>40</v>
          </cell>
          <cell r="AA7">
            <v>100</v>
          </cell>
        </row>
        <row r="8">
          <cell r="C8" t="str">
            <v>PLE</v>
          </cell>
          <cell r="D8">
            <v>200</v>
          </cell>
          <cell r="H8">
            <v>41652</v>
          </cell>
          <cell r="S8" t="str">
            <v>CE Rest Colect</v>
          </cell>
          <cell r="V8" t="str">
            <v>AUX.COLECTIVIDADES</v>
          </cell>
          <cell r="Z8">
            <v>35</v>
          </cell>
          <cell r="AA8">
            <v>87.5</v>
          </cell>
        </row>
        <row r="9">
          <cell r="C9" t="str">
            <v>GMJ</v>
          </cell>
          <cell r="D9">
            <v>200</v>
          </cell>
          <cell r="H9">
            <v>43712</v>
          </cell>
          <cell r="S9" t="str">
            <v>CE Rest Colect</v>
          </cell>
          <cell r="V9" t="str">
            <v>DIETISTA</v>
          </cell>
          <cell r="Z9">
            <v>39</v>
          </cell>
          <cell r="AA9">
            <v>97.5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TA"/>
      <sheetName val="CD CI"/>
      <sheetName val="VEC_PBL"/>
      <sheetName val="Millores"/>
      <sheetName val="Subrogació Actual"/>
      <sheetName val="utilitats"/>
      <sheetName val="comentaris"/>
      <sheetName val="est.mitj.revisio salaris_2021"/>
      <sheetName val="DISPONIBILITAT"/>
      <sheetName val="Altres despeses"/>
      <sheetName val="VEC 2018 2021"/>
      <sheetName val="COSTOS ORIGINALS"/>
      <sheetName val="Contracte"/>
      <sheetName val="Subrogació Antic"/>
      <sheetName val="index"/>
      <sheetName val="Conveni de Refe.Dep2018"/>
      <sheetName val="facturacio2020"/>
      <sheetName val="quadre subro.Via FAVENCIA"/>
      <sheetName val="Quadre Subr.BARCELONETA"/>
    </sheetNames>
    <sheetDataSet>
      <sheetData sheetId="0"/>
      <sheetData sheetId="1"/>
      <sheetData sheetId="2"/>
      <sheetData sheetId="3"/>
      <sheetData sheetId="4"/>
      <sheetData sheetId="5">
        <row r="24">
          <cell r="J24">
            <v>100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45152751" displayName="Tabla145152751" ref="A5:H15" totalsRowShown="0" headerRowDxfId="29" dataDxfId="28" headerRowCellStyle="Normal 2" dataCellStyle="Normal 2">
  <autoFilter ref="A5:H15"/>
  <tableColumns count="8">
    <tableColumn id="1" name="ANUALITAT" dataDxfId="27" dataCellStyle="Normal 2"/>
    <tableColumn id="2" name="Columna2" dataDxfId="26" dataCellStyle="Normal 2"/>
    <tableColumn id="3" name="increment" dataDxfId="25" dataCellStyle="Normal 2"/>
    <tableColumn id="4" name="PAGAMENT" dataDxfId="24" dataCellStyle="Normal 2"/>
    <tableColumn id="5" name="COST" dataDxfId="23" dataCellStyle="Normal 2"/>
    <tableColumn id="6" name="diferencia" dataDxfId="22" dataCellStyle="Normal 2"/>
    <tableColumn id="7" name="SUPOSIT increment %" dataDxfId="21"/>
    <tableColumn id="8" name="observacions" dataDxfId="20" dataCellStyle="Normal 2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3" name="Tabla1451527514" displayName="Tabla1451527514" ref="A24:H34" totalsRowShown="0" headerRowDxfId="19" dataDxfId="18" headerRowCellStyle="Normal 2" dataCellStyle="Normal 2">
  <autoFilter ref="A24:H34"/>
  <tableColumns count="8">
    <tableColumn id="1" name="ANUALITAT" dataDxfId="17" dataCellStyle="Normal 2"/>
    <tableColumn id="2" name="Columna2" dataDxfId="16" dataCellStyle="Normal 2"/>
    <tableColumn id="3" name="increment" dataDxfId="15" dataCellStyle="Normal 2"/>
    <tableColumn id="4" name="PAGAMENT" dataDxfId="14" dataCellStyle="Normal 2"/>
    <tableColumn id="5" name="COST" dataDxfId="13" dataCellStyle="Normal 2"/>
    <tableColumn id="6" name="diferencia" dataDxfId="12" dataCellStyle="Normal 2"/>
    <tableColumn id="7" name="SUPOSIT increment %" dataDxfId="11"/>
    <tableColumn id="8" name="observacions" dataDxfId="10" dataCellStyle="Normal 2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2" name="Tabla1451527513" displayName="Tabla1451527513" ref="A5:H15" totalsRowShown="0" headerRowDxfId="9" dataDxfId="8" headerRowCellStyle="Normal 2" dataCellStyle="Normal 2">
  <autoFilter ref="A5:H15"/>
  <tableColumns count="8">
    <tableColumn id="1" name="ANUALITAT" dataDxfId="7" dataCellStyle="Normal 2"/>
    <tableColumn id="2" name="Columna2" dataDxfId="6" dataCellStyle="Normal 2"/>
    <tableColumn id="3" name="increment" dataDxfId="5" dataCellStyle="Normal 2"/>
    <tableColumn id="4" name="PAGAMENT" dataDxfId="4" dataCellStyle="Normal 2"/>
    <tableColumn id="5" name="COST" dataDxfId="3" dataCellStyle="Normal 2"/>
    <tableColumn id="6" name="diferencia" dataDxfId="2" dataCellStyle="Normal 2"/>
    <tableColumn id="7" name="SUPOSIT increment %" dataDxfId="1"/>
    <tableColumn id="8" name="observacions" dataDxfId="0" dataCellStyle="Normal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6.bin"/><Relationship Id="rId4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44"/>
  <sheetViews>
    <sheetView workbookViewId="0">
      <pane xSplit="1" ySplit="2" topLeftCell="B36" activePane="bottomRight" state="frozen"/>
      <selection pane="topRight" activeCell="B1" sqref="B1"/>
      <selection pane="bottomLeft" activeCell="A3" sqref="A3"/>
      <selection pane="bottomRight" activeCell="B38" sqref="B38"/>
    </sheetView>
  </sheetViews>
  <sheetFormatPr defaultColWidth="11.453125" defaultRowHeight="14.5"/>
  <cols>
    <col min="1" max="1" width="11.1796875" bestFit="1" customWidth="1"/>
    <col min="2" max="2" width="24" style="1" bestFit="1" customWidth="1"/>
    <col min="3" max="3" width="13.26953125" style="1" bestFit="1" customWidth="1"/>
    <col min="4" max="4" width="14.1796875" style="1" bestFit="1" customWidth="1"/>
    <col min="5" max="5" width="14" style="1" bestFit="1" customWidth="1"/>
    <col min="6" max="6" width="20.54296875" bestFit="1" customWidth="1"/>
    <col min="7" max="7" width="13.453125" bestFit="1" customWidth="1"/>
    <col min="8" max="8" width="13.1796875" bestFit="1" customWidth="1"/>
    <col min="9" max="9" width="13.54296875" style="8" customWidth="1"/>
    <col min="10" max="10" width="14.7265625" style="8" bestFit="1" customWidth="1"/>
    <col min="11" max="11" width="15.453125" style="8" customWidth="1"/>
    <col min="12" max="12" width="14.7265625" style="8" bestFit="1" customWidth="1"/>
  </cols>
  <sheetData>
    <row r="1" spans="1:15">
      <c r="H1" s="2"/>
      <c r="I1" s="18">
        <v>0.32500000000000001</v>
      </c>
      <c r="M1" s="15">
        <v>44742</v>
      </c>
      <c r="O1">
        <v>0</v>
      </c>
    </row>
    <row r="2" spans="1:15" s="5" customFormat="1" ht="43.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16" t="s">
        <v>63</v>
      </c>
      <c r="J2" s="16" t="s">
        <v>66</v>
      </c>
      <c r="K2" s="16" t="s">
        <v>64</v>
      </c>
      <c r="L2" s="16" t="s">
        <v>65</v>
      </c>
      <c r="M2" s="3" t="s">
        <v>68</v>
      </c>
      <c r="N2" s="3" t="s">
        <v>67</v>
      </c>
      <c r="O2" s="3" t="s">
        <v>69</v>
      </c>
    </row>
    <row r="3" spans="1:15" s="152" customFormat="1">
      <c r="A3" s="145" t="s">
        <v>8</v>
      </c>
      <c r="B3" s="146">
        <v>41944</v>
      </c>
      <c r="C3" s="147">
        <v>100</v>
      </c>
      <c r="D3" s="148">
        <v>40</v>
      </c>
      <c r="E3" s="148">
        <v>100</v>
      </c>
      <c r="F3" s="149" t="s">
        <v>9</v>
      </c>
      <c r="G3" s="145" t="s">
        <v>10</v>
      </c>
      <c r="H3" s="150">
        <v>21099.360000000001</v>
      </c>
      <c r="I3" s="151">
        <f>H3*$I$1</f>
        <v>6857.2920000000004</v>
      </c>
      <c r="J3" s="151">
        <f>H3+I3</f>
        <v>27956.652000000002</v>
      </c>
      <c r="K3" s="151">
        <f>J3/14</f>
        <v>1996.9037142857144</v>
      </c>
      <c r="L3" s="151">
        <f>J3+K3</f>
        <v>29953.555714285718</v>
      </c>
      <c r="M3" s="152">
        <f>(($M$1-B3)/365)/3</f>
        <v>2.5552511415525117</v>
      </c>
      <c r="N3" s="152">
        <f>INT(M3)</f>
        <v>2</v>
      </c>
      <c r="O3" s="152">
        <f>N3*$O$1</f>
        <v>0</v>
      </c>
    </row>
    <row r="4" spans="1:15" s="152" customFormat="1">
      <c r="A4" s="145" t="s">
        <v>11</v>
      </c>
      <c r="B4" s="146">
        <v>44546</v>
      </c>
      <c r="C4" s="147">
        <v>502</v>
      </c>
      <c r="D4" s="148">
        <v>39</v>
      </c>
      <c r="E4" s="148">
        <v>97.5</v>
      </c>
      <c r="F4" s="149" t="s">
        <v>51</v>
      </c>
      <c r="G4" s="145" t="s">
        <v>10</v>
      </c>
      <c r="H4" s="150">
        <v>18317.46</v>
      </c>
      <c r="I4" s="151">
        <f t="shared" ref="I4:I42" si="0">H4*$I$1</f>
        <v>5953.1745000000001</v>
      </c>
      <c r="J4" s="151">
        <f t="shared" ref="J4:J42" si="1">H4+I4</f>
        <v>24270.6345</v>
      </c>
      <c r="K4" s="151">
        <f t="shared" ref="K4:K42" si="2">J4/14</f>
        <v>1733.6167499999999</v>
      </c>
      <c r="L4" s="151">
        <f t="shared" ref="L4:L42" si="3">J4+K4</f>
        <v>26004.251250000001</v>
      </c>
      <c r="M4" s="152">
        <f t="shared" ref="M4:M42" si="4">(($M$1-B4)/365)/3</f>
        <v>0.17899543378995433</v>
      </c>
      <c r="N4" s="152">
        <f t="shared" ref="N4:N42" si="5">INT(M4)</f>
        <v>0</v>
      </c>
      <c r="O4" s="152">
        <f t="shared" ref="O4:O42" si="6">N4*$O$1</f>
        <v>0</v>
      </c>
    </row>
    <row r="5" spans="1:15" s="152" customFormat="1">
      <c r="A5" s="145" t="s">
        <v>12</v>
      </c>
      <c r="B5" s="146">
        <v>44581</v>
      </c>
      <c r="C5" s="147">
        <v>501</v>
      </c>
      <c r="D5" s="148">
        <v>39</v>
      </c>
      <c r="E5" s="148">
        <v>97.5</v>
      </c>
      <c r="F5" s="149" t="s">
        <v>51</v>
      </c>
      <c r="G5" s="145" t="s">
        <v>10</v>
      </c>
      <c r="H5" s="150">
        <v>18317.46</v>
      </c>
      <c r="I5" s="151">
        <f t="shared" si="0"/>
        <v>5953.1745000000001</v>
      </c>
      <c r="J5" s="151">
        <f t="shared" si="1"/>
        <v>24270.6345</v>
      </c>
      <c r="K5" s="151">
        <f t="shared" si="2"/>
        <v>1733.6167499999999</v>
      </c>
      <c r="L5" s="151">
        <f t="shared" si="3"/>
        <v>26004.251250000001</v>
      </c>
      <c r="M5" s="152">
        <f t="shared" si="4"/>
        <v>0.14703196347031963</v>
      </c>
      <c r="N5" s="152">
        <f t="shared" si="5"/>
        <v>0</v>
      </c>
      <c r="O5" s="152">
        <f t="shared" si="6"/>
        <v>0</v>
      </c>
    </row>
    <row r="6" spans="1:15" s="152" customFormat="1">
      <c r="A6" s="145" t="s">
        <v>13</v>
      </c>
      <c r="B6" s="146">
        <v>42911</v>
      </c>
      <c r="C6" s="147">
        <v>289</v>
      </c>
      <c r="D6" s="148">
        <v>39</v>
      </c>
      <c r="E6" s="148">
        <v>97.5</v>
      </c>
      <c r="F6" s="149" t="s">
        <v>44</v>
      </c>
      <c r="G6" s="145" t="s">
        <v>10</v>
      </c>
      <c r="H6" s="150">
        <v>18366.419999999998</v>
      </c>
      <c r="I6" s="151">
        <f t="shared" si="0"/>
        <v>5969.0864999999994</v>
      </c>
      <c r="J6" s="151">
        <f t="shared" si="1"/>
        <v>24335.506499999996</v>
      </c>
      <c r="K6" s="151">
        <f t="shared" si="2"/>
        <v>1738.2504642857141</v>
      </c>
      <c r="L6" s="151">
        <f t="shared" si="3"/>
        <v>26073.756964285709</v>
      </c>
      <c r="M6" s="152">
        <f t="shared" si="4"/>
        <v>1.672146118721461</v>
      </c>
      <c r="N6" s="152">
        <f t="shared" si="5"/>
        <v>1</v>
      </c>
      <c r="O6" s="152">
        <f t="shared" si="6"/>
        <v>0</v>
      </c>
    </row>
    <row r="7" spans="1:15" s="152" customFormat="1">
      <c r="A7" s="145" t="s">
        <v>14</v>
      </c>
      <c r="B7" s="146">
        <v>42933</v>
      </c>
      <c r="C7" s="147">
        <v>289</v>
      </c>
      <c r="D7" s="148">
        <v>39</v>
      </c>
      <c r="E7" s="148">
        <v>97.5</v>
      </c>
      <c r="F7" s="149" t="s">
        <v>44</v>
      </c>
      <c r="G7" s="145" t="s">
        <v>10</v>
      </c>
      <c r="H7" s="150">
        <v>18366.419999999998</v>
      </c>
      <c r="I7" s="151">
        <f t="shared" si="0"/>
        <v>5969.0864999999994</v>
      </c>
      <c r="J7" s="151">
        <f t="shared" si="1"/>
        <v>24335.506499999996</v>
      </c>
      <c r="K7" s="151">
        <f t="shared" si="2"/>
        <v>1738.2504642857141</v>
      </c>
      <c r="L7" s="151">
        <f t="shared" si="3"/>
        <v>26073.756964285709</v>
      </c>
      <c r="M7" s="152">
        <f t="shared" si="4"/>
        <v>1.6520547945205479</v>
      </c>
      <c r="N7" s="152">
        <f t="shared" si="5"/>
        <v>1</v>
      </c>
      <c r="O7" s="152">
        <f t="shared" si="6"/>
        <v>0</v>
      </c>
    </row>
    <row r="8" spans="1:15" s="152" customFormat="1">
      <c r="A8" s="145" t="s">
        <v>15</v>
      </c>
      <c r="B8" s="146">
        <v>43017</v>
      </c>
      <c r="C8" s="147">
        <v>289</v>
      </c>
      <c r="D8" s="148">
        <v>35</v>
      </c>
      <c r="E8" s="148">
        <v>87.5</v>
      </c>
      <c r="F8" s="149" t="s">
        <v>44</v>
      </c>
      <c r="G8" s="145" t="s">
        <v>10</v>
      </c>
      <c r="H8" s="150">
        <v>16503.439999999999</v>
      </c>
      <c r="I8" s="151">
        <f t="shared" si="0"/>
        <v>5363.6179999999995</v>
      </c>
      <c r="J8" s="151">
        <f t="shared" si="1"/>
        <v>21867.057999999997</v>
      </c>
      <c r="K8" s="151">
        <f t="shared" si="2"/>
        <v>1561.9327142857142</v>
      </c>
      <c r="L8" s="151">
        <f t="shared" si="3"/>
        <v>23428.990714285712</v>
      </c>
      <c r="M8" s="152">
        <f t="shared" si="4"/>
        <v>1.5753424657534245</v>
      </c>
      <c r="N8" s="152">
        <f t="shared" si="5"/>
        <v>1</v>
      </c>
      <c r="O8" s="152">
        <f t="shared" si="6"/>
        <v>0</v>
      </c>
    </row>
    <row r="9" spans="1:15" s="152" customFormat="1">
      <c r="A9" s="145" t="s">
        <v>16</v>
      </c>
      <c r="B9" s="146">
        <v>43720</v>
      </c>
      <c r="C9" s="147">
        <v>300</v>
      </c>
      <c r="D9" s="148">
        <v>39</v>
      </c>
      <c r="E9" s="148">
        <v>97.5</v>
      </c>
      <c r="F9" s="149" t="s">
        <v>44</v>
      </c>
      <c r="G9" s="145" t="s">
        <v>10</v>
      </c>
      <c r="H9" s="150">
        <v>18317.46</v>
      </c>
      <c r="I9" s="151">
        <f t="shared" si="0"/>
        <v>5953.1745000000001</v>
      </c>
      <c r="J9" s="151">
        <f t="shared" si="1"/>
        <v>24270.6345</v>
      </c>
      <c r="K9" s="151">
        <f t="shared" si="2"/>
        <v>1733.6167499999999</v>
      </c>
      <c r="L9" s="151">
        <f t="shared" si="3"/>
        <v>26004.251250000001</v>
      </c>
      <c r="M9" s="152">
        <f t="shared" si="4"/>
        <v>0.93333333333333324</v>
      </c>
      <c r="N9" s="152">
        <f t="shared" si="5"/>
        <v>0</v>
      </c>
      <c r="O9" s="152">
        <f t="shared" si="6"/>
        <v>0</v>
      </c>
    </row>
    <row r="10" spans="1:15" s="152" customFormat="1">
      <c r="A10" s="145" t="s">
        <v>17</v>
      </c>
      <c r="B10" s="146">
        <v>44501</v>
      </c>
      <c r="C10" s="147">
        <v>501</v>
      </c>
      <c r="D10" s="148">
        <v>39</v>
      </c>
      <c r="E10" s="148">
        <v>97.5</v>
      </c>
      <c r="F10" s="149" t="s">
        <v>44</v>
      </c>
      <c r="G10" s="145" t="s">
        <v>10</v>
      </c>
      <c r="H10" s="150">
        <v>18317.46</v>
      </c>
      <c r="I10" s="151">
        <f t="shared" si="0"/>
        <v>5953.1745000000001</v>
      </c>
      <c r="J10" s="151">
        <f t="shared" si="1"/>
        <v>24270.6345</v>
      </c>
      <c r="K10" s="151">
        <f t="shared" si="2"/>
        <v>1733.6167499999999</v>
      </c>
      <c r="L10" s="151">
        <f t="shared" si="3"/>
        <v>26004.251250000001</v>
      </c>
      <c r="M10" s="152">
        <f t="shared" si="4"/>
        <v>0.22009132420091324</v>
      </c>
      <c r="N10" s="152">
        <f t="shared" si="5"/>
        <v>0</v>
      </c>
      <c r="O10" s="152">
        <f t="shared" si="6"/>
        <v>0</v>
      </c>
    </row>
    <row r="11" spans="1:15" s="152" customFormat="1">
      <c r="A11" s="145" t="str">
        <f>+[1]PAlleja!C8</f>
        <v>PLE</v>
      </c>
      <c r="B11" s="146">
        <f>+[1]PAlleja!H8</f>
        <v>41652</v>
      </c>
      <c r="C11" s="147">
        <f>+[1]PAlleja!D8</f>
        <v>200</v>
      </c>
      <c r="D11" s="148">
        <f>+[1]PAlleja!Z8</f>
        <v>35</v>
      </c>
      <c r="E11" s="148">
        <f>+[1]PAlleja!AA8</f>
        <v>87.5</v>
      </c>
      <c r="F11" s="149" t="str">
        <f>+[1]PAlleja!V8</f>
        <v>AUX.COLECTIVIDADES</v>
      </c>
      <c r="G11" s="145" t="str">
        <f>+[1]PAlleja!S8</f>
        <v>CE Rest Colect</v>
      </c>
      <c r="H11" s="150">
        <v>16503.439999999999</v>
      </c>
      <c r="I11" s="151">
        <f t="shared" si="0"/>
        <v>5363.6179999999995</v>
      </c>
      <c r="J11" s="151">
        <f t="shared" si="1"/>
        <v>21867.057999999997</v>
      </c>
      <c r="K11" s="151">
        <f t="shared" si="2"/>
        <v>1561.9327142857142</v>
      </c>
      <c r="L11" s="151">
        <f t="shared" si="3"/>
        <v>23428.990714285712</v>
      </c>
      <c r="M11" s="152">
        <f t="shared" si="4"/>
        <v>2.8219178082191778</v>
      </c>
      <c r="N11" s="152">
        <f t="shared" si="5"/>
        <v>2</v>
      </c>
      <c r="O11" s="152">
        <f t="shared" si="6"/>
        <v>0</v>
      </c>
    </row>
    <row r="12" spans="1:15" s="152" customFormat="1">
      <c r="A12" s="145" t="s">
        <v>18</v>
      </c>
      <c r="B12" s="146">
        <v>39965</v>
      </c>
      <c r="C12" s="147">
        <v>200</v>
      </c>
      <c r="D12" s="148">
        <v>39</v>
      </c>
      <c r="E12" s="148">
        <v>97.5</v>
      </c>
      <c r="F12" s="149" t="s">
        <v>45</v>
      </c>
      <c r="G12" s="145" t="s">
        <v>10</v>
      </c>
      <c r="H12" s="150">
        <v>18366.419999999998</v>
      </c>
      <c r="I12" s="151">
        <f t="shared" si="0"/>
        <v>5969.0864999999994</v>
      </c>
      <c r="J12" s="151">
        <f t="shared" si="1"/>
        <v>24335.506499999996</v>
      </c>
      <c r="K12" s="151">
        <f t="shared" si="2"/>
        <v>1738.2504642857141</v>
      </c>
      <c r="L12" s="151">
        <f t="shared" si="3"/>
        <v>26073.756964285709</v>
      </c>
      <c r="M12" s="152">
        <f t="shared" si="4"/>
        <v>4.3625570776255707</v>
      </c>
      <c r="N12" s="152">
        <f t="shared" si="5"/>
        <v>4</v>
      </c>
      <c r="O12" s="152">
        <f t="shared" si="6"/>
        <v>0</v>
      </c>
    </row>
    <row r="13" spans="1:15" s="152" customFormat="1">
      <c r="A13" s="145" t="s">
        <v>19</v>
      </c>
      <c r="B13" s="146">
        <v>42116</v>
      </c>
      <c r="C13" s="147">
        <v>200</v>
      </c>
      <c r="D13" s="148">
        <v>30</v>
      </c>
      <c r="E13" s="148">
        <v>75</v>
      </c>
      <c r="F13" s="149" t="s">
        <v>45</v>
      </c>
      <c r="G13" s="145" t="s">
        <v>10</v>
      </c>
      <c r="H13" s="150">
        <v>14174.68</v>
      </c>
      <c r="I13" s="151">
        <f t="shared" si="0"/>
        <v>4606.7710000000006</v>
      </c>
      <c r="J13" s="151">
        <f t="shared" si="1"/>
        <v>18781.451000000001</v>
      </c>
      <c r="K13" s="151">
        <f t="shared" si="2"/>
        <v>1341.5322142857144</v>
      </c>
      <c r="L13" s="151">
        <f t="shared" si="3"/>
        <v>20122.983214285716</v>
      </c>
      <c r="M13" s="152">
        <f t="shared" si="4"/>
        <v>2.398173515981735</v>
      </c>
      <c r="N13" s="152">
        <f t="shared" si="5"/>
        <v>2</v>
      </c>
      <c r="O13" s="152">
        <f t="shared" si="6"/>
        <v>0</v>
      </c>
    </row>
    <row r="14" spans="1:15" s="152" customFormat="1">
      <c r="A14" s="145" t="str">
        <f>+[1]PAlleja!C6</f>
        <v>SGAM</v>
      </c>
      <c r="B14" s="146">
        <f>+[1]PAlleja!H6</f>
        <v>41975</v>
      </c>
      <c r="C14" s="147">
        <f>+[1]PAlleja!D6</f>
        <v>200</v>
      </c>
      <c r="D14" s="148">
        <f>+[1]PAlleja!Z6</f>
        <v>35</v>
      </c>
      <c r="E14" s="148">
        <f>+[1]PAlleja!AA6</f>
        <v>87.5</v>
      </c>
      <c r="F14" s="149" t="str">
        <f>+[1]PAlleja!V6</f>
        <v>AUX.SERV.LIMP</v>
      </c>
      <c r="G14" s="145" t="str">
        <f>+[1]PAlleja!S6</f>
        <v>CE Rest Colect</v>
      </c>
      <c r="H14" s="150">
        <v>16503.439999999999</v>
      </c>
      <c r="I14" s="151">
        <f t="shared" si="0"/>
        <v>5363.6179999999995</v>
      </c>
      <c r="J14" s="151">
        <f t="shared" si="1"/>
        <v>21867.057999999997</v>
      </c>
      <c r="K14" s="151">
        <f t="shared" si="2"/>
        <v>1561.9327142857142</v>
      </c>
      <c r="L14" s="151">
        <f t="shared" si="3"/>
        <v>23428.990714285712</v>
      </c>
      <c r="M14" s="152">
        <f t="shared" si="4"/>
        <v>2.5269406392694065</v>
      </c>
      <c r="N14" s="152">
        <f t="shared" si="5"/>
        <v>2</v>
      </c>
      <c r="O14" s="152">
        <f t="shared" si="6"/>
        <v>0</v>
      </c>
    </row>
    <row r="15" spans="1:15" s="152" customFormat="1">
      <c r="A15" s="145" t="str">
        <f>+[1]PAlleja!C7</f>
        <v>MSJL</v>
      </c>
      <c r="B15" s="146">
        <f>+[1]PAlleja!H7</f>
        <v>41450</v>
      </c>
      <c r="C15" s="147">
        <f>+[1]PAlleja!D7</f>
        <v>100</v>
      </c>
      <c r="D15" s="148">
        <f>+[1]PAlleja!Z7</f>
        <v>40</v>
      </c>
      <c r="E15" s="148">
        <f>+[1]PAlleja!AA7</f>
        <v>100</v>
      </c>
      <c r="F15" s="149" t="str">
        <f>+[1]PAlleja!V7</f>
        <v>AUX.SERV.LIMP</v>
      </c>
      <c r="G15" s="145" t="str">
        <f>+[1]PAlleja!S7</f>
        <v>CE Rest Colect</v>
      </c>
      <c r="H15" s="150">
        <v>18832.2</v>
      </c>
      <c r="I15" s="151">
        <f t="shared" si="0"/>
        <v>6120.4650000000001</v>
      </c>
      <c r="J15" s="151">
        <f t="shared" si="1"/>
        <v>24952.665000000001</v>
      </c>
      <c r="K15" s="151">
        <f t="shared" si="2"/>
        <v>1782.3332142857143</v>
      </c>
      <c r="L15" s="151">
        <f t="shared" si="3"/>
        <v>26734.998214285715</v>
      </c>
      <c r="M15" s="152">
        <f t="shared" si="4"/>
        <v>3.0063926940639267</v>
      </c>
      <c r="N15" s="152">
        <f t="shared" si="5"/>
        <v>3</v>
      </c>
      <c r="O15" s="152">
        <f t="shared" si="6"/>
        <v>0</v>
      </c>
    </row>
    <row r="16" spans="1:15" s="152" customFormat="1">
      <c r="A16" s="145" t="str">
        <f>+[1]PAlleja!C3</f>
        <v>AMA</v>
      </c>
      <c r="B16" s="146">
        <f>+[1]PAlleja!H3</f>
        <v>32664</v>
      </c>
      <c r="C16" s="147">
        <f>+[1]PAlleja!D3</f>
        <v>100</v>
      </c>
      <c r="D16" s="148">
        <f>+[1]PAlleja!Z3</f>
        <v>40</v>
      </c>
      <c r="E16" s="148">
        <f>+[1]PAlleja!AA3</f>
        <v>100</v>
      </c>
      <c r="F16" s="149" t="str">
        <f>+[1]PAlleja!V3</f>
        <v>COCINERO (SC)</v>
      </c>
      <c r="G16" s="145" t="str">
        <f>+[1]PAlleja!S3</f>
        <v>CE Rest Colect</v>
      </c>
      <c r="H16" s="150">
        <v>23988.3</v>
      </c>
      <c r="I16" s="151">
        <f t="shared" si="0"/>
        <v>7796.1975000000002</v>
      </c>
      <c r="J16" s="151">
        <f t="shared" si="1"/>
        <v>31784.497499999998</v>
      </c>
      <c r="K16" s="151">
        <f t="shared" si="2"/>
        <v>2270.32125</v>
      </c>
      <c r="L16" s="151">
        <f t="shared" si="3"/>
        <v>34054.818749999999</v>
      </c>
      <c r="M16" s="152">
        <f t="shared" si="4"/>
        <v>11.03013698630137</v>
      </c>
      <c r="N16" s="152">
        <f t="shared" si="5"/>
        <v>11</v>
      </c>
      <c r="O16" s="152">
        <f t="shared" si="6"/>
        <v>0</v>
      </c>
    </row>
    <row r="17" spans="1:15" s="152" customFormat="1">
      <c r="A17" s="145" t="str">
        <f>+[1]PAlleja!C4</f>
        <v>BRJA</v>
      </c>
      <c r="B17" s="146">
        <f>+[1]PAlleja!H4</f>
        <v>35310</v>
      </c>
      <c r="C17" s="147">
        <f>+[1]PAlleja!D4</f>
        <v>100</v>
      </c>
      <c r="D17" s="148">
        <f>+[1]PAlleja!Z4</f>
        <v>40</v>
      </c>
      <c r="E17" s="148">
        <f>+[1]PAlleja!AA4</f>
        <v>100</v>
      </c>
      <c r="F17" s="149" t="str">
        <f>+[1]PAlleja!V4</f>
        <v>COCINERO (SC)</v>
      </c>
      <c r="G17" s="145" t="str">
        <f>+[1]PAlleja!S4</f>
        <v>CE Rest Colect</v>
      </c>
      <c r="H17" s="150">
        <v>23784.82</v>
      </c>
      <c r="I17" s="151">
        <f t="shared" si="0"/>
        <v>7730.0664999999999</v>
      </c>
      <c r="J17" s="151">
        <f t="shared" si="1"/>
        <v>31514.886500000001</v>
      </c>
      <c r="K17" s="151">
        <f t="shared" si="2"/>
        <v>2251.0633214285713</v>
      </c>
      <c r="L17" s="151">
        <f t="shared" si="3"/>
        <v>33765.94982142857</v>
      </c>
      <c r="M17" s="152">
        <f t="shared" si="4"/>
        <v>8.6136986301369856</v>
      </c>
      <c r="N17" s="152">
        <f t="shared" si="5"/>
        <v>8</v>
      </c>
      <c r="O17" s="152">
        <f t="shared" si="6"/>
        <v>0</v>
      </c>
    </row>
    <row r="18" spans="1:15" s="152" customFormat="1">
      <c r="A18" s="145" t="s">
        <v>20</v>
      </c>
      <c r="B18" s="146">
        <v>41995</v>
      </c>
      <c r="C18" s="147">
        <v>200</v>
      </c>
      <c r="D18" s="148">
        <v>39</v>
      </c>
      <c r="E18" s="148">
        <v>97.5</v>
      </c>
      <c r="F18" s="149" t="s">
        <v>21</v>
      </c>
      <c r="G18" s="145" t="s">
        <v>10</v>
      </c>
      <c r="H18" s="150">
        <v>19826.2</v>
      </c>
      <c r="I18" s="151">
        <f t="shared" si="0"/>
        <v>6443.5150000000003</v>
      </c>
      <c r="J18" s="151">
        <f t="shared" si="1"/>
        <v>26269.715</v>
      </c>
      <c r="K18" s="151">
        <f t="shared" si="2"/>
        <v>1876.4082142857144</v>
      </c>
      <c r="L18" s="151">
        <f t="shared" si="3"/>
        <v>28146.123214285715</v>
      </c>
      <c r="M18" s="152">
        <f t="shared" si="4"/>
        <v>2.5086757990867579</v>
      </c>
      <c r="N18" s="152">
        <f t="shared" si="5"/>
        <v>2</v>
      </c>
      <c r="O18" s="152">
        <f t="shared" si="6"/>
        <v>0</v>
      </c>
    </row>
    <row r="19" spans="1:15" s="152" customFormat="1">
      <c r="A19" s="145" t="s">
        <v>22</v>
      </c>
      <c r="B19" s="146">
        <v>41967</v>
      </c>
      <c r="C19" s="147">
        <v>200</v>
      </c>
      <c r="D19" s="148">
        <v>39</v>
      </c>
      <c r="E19" s="148">
        <v>97.5</v>
      </c>
      <c r="F19" s="149" t="s">
        <v>21</v>
      </c>
      <c r="G19" s="145" t="s">
        <v>10</v>
      </c>
      <c r="H19" s="150">
        <v>20365.599999999999</v>
      </c>
      <c r="I19" s="151">
        <f t="shared" si="0"/>
        <v>6618.82</v>
      </c>
      <c r="J19" s="151">
        <f t="shared" si="1"/>
        <v>26984.42</v>
      </c>
      <c r="K19" s="151">
        <f t="shared" si="2"/>
        <v>1927.4585714285713</v>
      </c>
      <c r="L19" s="151">
        <f t="shared" si="3"/>
        <v>28911.87857142857</v>
      </c>
      <c r="M19" s="152">
        <f t="shared" si="4"/>
        <v>2.5342465753424657</v>
      </c>
      <c r="N19" s="152">
        <f t="shared" si="5"/>
        <v>2</v>
      </c>
      <c r="O19" s="152">
        <f t="shared" si="6"/>
        <v>0</v>
      </c>
    </row>
    <row r="20" spans="1:15" s="152" customFormat="1">
      <c r="A20" s="145" t="s">
        <v>23</v>
      </c>
      <c r="B20" s="146">
        <v>42032</v>
      </c>
      <c r="C20" s="147">
        <v>200</v>
      </c>
      <c r="D20" s="148">
        <v>39</v>
      </c>
      <c r="E20" s="148">
        <v>97.5</v>
      </c>
      <c r="F20" s="149" t="s">
        <v>21</v>
      </c>
      <c r="G20" s="145" t="s">
        <v>10</v>
      </c>
      <c r="H20" s="150">
        <v>20365.599999999999</v>
      </c>
      <c r="I20" s="151">
        <f t="shared" si="0"/>
        <v>6618.82</v>
      </c>
      <c r="J20" s="151">
        <f t="shared" si="1"/>
        <v>26984.42</v>
      </c>
      <c r="K20" s="151">
        <f t="shared" si="2"/>
        <v>1927.4585714285713</v>
      </c>
      <c r="L20" s="151">
        <f t="shared" si="3"/>
        <v>28911.87857142857</v>
      </c>
      <c r="M20" s="152">
        <f t="shared" si="4"/>
        <v>2.4748858447488584</v>
      </c>
      <c r="N20" s="152">
        <f t="shared" si="5"/>
        <v>2</v>
      </c>
      <c r="O20" s="152">
        <f t="shared" si="6"/>
        <v>0</v>
      </c>
    </row>
    <row r="21" spans="1:15" s="152" customFormat="1">
      <c r="A21" s="145" t="s">
        <v>24</v>
      </c>
      <c r="B21" s="146">
        <v>42319</v>
      </c>
      <c r="C21" s="147">
        <v>289</v>
      </c>
      <c r="D21" s="148">
        <v>39</v>
      </c>
      <c r="E21" s="148">
        <v>97.5</v>
      </c>
      <c r="F21" s="149" t="s">
        <v>21</v>
      </c>
      <c r="G21" s="145" t="s">
        <v>10</v>
      </c>
      <c r="H21" s="150">
        <v>22765.62</v>
      </c>
      <c r="I21" s="151">
        <f t="shared" si="0"/>
        <v>7398.8265000000001</v>
      </c>
      <c r="J21" s="151">
        <f t="shared" si="1"/>
        <v>30164.446499999998</v>
      </c>
      <c r="K21" s="151">
        <f t="shared" si="2"/>
        <v>2154.6033214285712</v>
      </c>
      <c r="L21" s="151">
        <f t="shared" si="3"/>
        <v>32319.049821428569</v>
      </c>
      <c r="M21" s="152">
        <f t="shared" si="4"/>
        <v>2.2127853881278541</v>
      </c>
      <c r="N21" s="152">
        <f t="shared" si="5"/>
        <v>2</v>
      </c>
      <c r="O21" s="152">
        <f t="shared" si="6"/>
        <v>0</v>
      </c>
    </row>
    <row r="22" spans="1:15" s="152" customFormat="1">
      <c r="A22" s="145" t="s">
        <v>25</v>
      </c>
      <c r="B22" s="146">
        <v>42851</v>
      </c>
      <c r="C22" s="147">
        <v>289</v>
      </c>
      <c r="D22" s="148">
        <v>39</v>
      </c>
      <c r="E22" s="148">
        <v>97.5</v>
      </c>
      <c r="F22" s="149" t="s">
        <v>21</v>
      </c>
      <c r="G22" s="145" t="s">
        <v>10</v>
      </c>
      <c r="H22" s="150">
        <v>21565.54</v>
      </c>
      <c r="I22" s="151">
        <f t="shared" si="0"/>
        <v>7008.8005000000003</v>
      </c>
      <c r="J22" s="151">
        <f t="shared" si="1"/>
        <v>28574.340500000002</v>
      </c>
      <c r="K22" s="151">
        <f t="shared" si="2"/>
        <v>2041.0243214285715</v>
      </c>
      <c r="L22" s="151">
        <f t="shared" si="3"/>
        <v>30615.364821428575</v>
      </c>
      <c r="M22" s="152">
        <f t="shared" si="4"/>
        <v>1.7269406392694064</v>
      </c>
      <c r="N22" s="152">
        <f t="shared" si="5"/>
        <v>1</v>
      </c>
      <c r="O22" s="152">
        <f t="shared" si="6"/>
        <v>0</v>
      </c>
    </row>
    <row r="23" spans="1:15" s="152" customFormat="1">
      <c r="A23" s="145" t="s">
        <v>26</v>
      </c>
      <c r="B23" s="146">
        <v>42881</v>
      </c>
      <c r="C23" s="147">
        <v>289</v>
      </c>
      <c r="D23" s="148">
        <v>39</v>
      </c>
      <c r="E23" s="148">
        <v>97.5</v>
      </c>
      <c r="F23" s="149" t="s">
        <v>21</v>
      </c>
      <c r="G23" s="145" t="s">
        <v>10</v>
      </c>
      <c r="H23" s="150">
        <v>20365.599999999999</v>
      </c>
      <c r="I23" s="151">
        <f t="shared" si="0"/>
        <v>6618.82</v>
      </c>
      <c r="J23" s="151">
        <f t="shared" si="1"/>
        <v>26984.42</v>
      </c>
      <c r="K23" s="151">
        <f t="shared" si="2"/>
        <v>1927.4585714285713</v>
      </c>
      <c r="L23" s="151">
        <f t="shared" si="3"/>
        <v>28911.87857142857</v>
      </c>
      <c r="M23" s="152">
        <f t="shared" si="4"/>
        <v>1.6995433789954337</v>
      </c>
      <c r="N23" s="152">
        <f t="shared" si="5"/>
        <v>1</v>
      </c>
      <c r="O23" s="152">
        <f t="shared" si="6"/>
        <v>0</v>
      </c>
    </row>
    <row r="24" spans="1:15" s="152" customFormat="1">
      <c r="A24" s="145" t="s">
        <v>27</v>
      </c>
      <c r="B24" s="146">
        <v>42915</v>
      </c>
      <c r="C24" s="147">
        <v>289</v>
      </c>
      <c r="D24" s="148">
        <v>39</v>
      </c>
      <c r="E24" s="148">
        <v>97.5</v>
      </c>
      <c r="F24" s="149" t="s">
        <v>21</v>
      </c>
      <c r="G24" s="145" t="s">
        <v>10</v>
      </c>
      <c r="H24" s="150">
        <v>20365.599999999999</v>
      </c>
      <c r="I24" s="151">
        <f t="shared" si="0"/>
        <v>6618.82</v>
      </c>
      <c r="J24" s="151">
        <f t="shared" si="1"/>
        <v>26984.42</v>
      </c>
      <c r="K24" s="151">
        <f t="shared" si="2"/>
        <v>1927.4585714285713</v>
      </c>
      <c r="L24" s="151">
        <f t="shared" si="3"/>
        <v>28911.87857142857</v>
      </c>
      <c r="M24" s="152">
        <f t="shared" si="4"/>
        <v>1.6684931506849316</v>
      </c>
      <c r="N24" s="152">
        <f t="shared" si="5"/>
        <v>1</v>
      </c>
      <c r="O24" s="152">
        <f t="shared" si="6"/>
        <v>0</v>
      </c>
    </row>
    <row r="25" spans="1:15" s="152" customFormat="1">
      <c r="A25" s="145" t="s">
        <v>28</v>
      </c>
      <c r="B25" s="146">
        <v>43006</v>
      </c>
      <c r="C25" s="147">
        <v>289</v>
      </c>
      <c r="D25" s="148">
        <v>39</v>
      </c>
      <c r="E25" s="148">
        <v>97.5</v>
      </c>
      <c r="F25" s="149" t="s">
        <v>21</v>
      </c>
      <c r="G25" s="145" t="s">
        <v>10</v>
      </c>
      <c r="H25" s="150">
        <v>20365.599999999999</v>
      </c>
      <c r="I25" s="151">
        <f t="shared" si="0"/>
        <v>6618.82</v>
      </c>
      <c r="J25" s="151">
        <f t="shared" si="1"/>
        <v>26984.42</v>
      </c>
      <c r="K25" s="151">
        <f t="shared" si="2"/>
        <v>1927.4585714285713</v>
      </c>
      <c r="L25" s="151">
        <f t="shared" si="3"/>
        <v>28911.87857142857</v>
      </c>
      <c r="M25" s="152">
        <f t="shared" si="4"/>
        <v>1.5853881278538813</v>
      </c>
      <c r="N25" s="152">
        <f t="shared" si="5"/>
        <v>1</v>
      </c>
      <c r="O25" s="152">
        <f t="shared" si="6"/>
        <v>0</v>
      </c>
    </row>
    <row r="26" spans="1:15" s="152" customFormat="1">
      <c r="A26" s="145" t="s">
        <v>29</v>
      </c>
      <c r="B26" s="146">
        <v>44242</v>
      </c>
      <c r="C26" s="147">
        <v>501</v>
      </c>
      <c r="D26" s="148">
        <v>39</v>
      </c>
      <c r="E26" s="148">
        <v>97.5</v>
      </c>
      <c r="F26" s="149" t="s">
        <v>21</v>
      </c>
      <c r="G26" s="145" t="s">
        <v>10</v>
      </c>
      <c r="H26" s="150">
        <v>19777.240000000002</v>
      </c>
      <c r="I26" s="151">
        <f t="shared" si="0"/>
        <v>6427.603000000001</v>
      </c>
      <c r="J26" s="151">
        <f t="shared" si="1"/>
        <v>26204.843000000001</v>
      </c>
      <c r="K26" s="151">
        <f t="shared" si="2"/>
        <v>1871.7745</v>
      </c>
      <c r="L26" s="151">
        <f t="shared" si="3"/>
        <v>28076.6175</v>
      </c>
      <c r="M26" s="152">
        <f t="shared" si="4"/>
        <v>0.45662100456621002</v>
      </c>
      <c r="N26" s="152">
        <f t="shared" si="5"/>
        <v>0</v>
      </c>
      <c r="O26" s="152">
        <f t="shared" si="6"/>
        <v>0</v>
      </c>
    </row>
    <row r="27" spans="1:15" s="152" customFormat="1">
      <c r="A27" s="145" t="s">
        <v>30</v>
      </c>
      <c r="B27" s="146">
        <v>43395</v>
      </c>
      <c r="C27" s="147">
        <v>189</v>
      </c>
      <c r="D27" s="148">
        <v>40</v>
      </c>
      <c r="E27" s="148">
        <v>100</v>
      </c>
      <c r="F27" s="149" t="s">
        <v>21</v>
      </c>
      <c r="G27" s="145" t="s">
        <v>10</v>
      </c>
      <c r="H27" s="150">
        <v>20280.400000000001</v>
      </c>
      <c r="I27" s="151">
        <f t="shared" si="0"/>
        <v>6591.130000000001</v>
      </c>
      <c r="J27" s="151">
        <f t="shared" si="1"/>
        <v>26871.530000000002</v>
      </c>
      <c r="K27" s="151">
        <f t="shared" si="2"/>
        <v>1919.3950000000002</v>
      </c>
      <c r="L27" s="151">
        <f t="shared" si="3"/>
        <v>28790.925000000003</v>
      </c>
      <c r="M27" s="152">
        <f t="shared" si="4"/>
        <v>1.2301369863013698</v>
      </c>
      <c r="N27" s="152">
        <f t="shared" si="5"/>
        <v>1</v>
      </c>
      <c r="O27" s="152">
        <f t="shared" si="6"/>
        <v>0</v>
      </c>
    </row>
    <row r="28" spans="1:15" s="152" customFormat="1">
      <c r="A28" s="145" t="s">
        <v>31</v>
      </c>
      <c r="B28" s="146">
        <v>43524</v>
      </c>
      <c r="C28" s="147">
        <v>289</v>
      </c>
      <c r="D28" s="148">
        <v>39</v>
      </c>
      <c r="E28" s="148">
        <v>97.5</v>
      </c>
      <c r="F28" s="149" t="s">
        <v>21</v>
      </c>
      <c r="G28" s="145" t="s">
        <v>10</v>
      </c>
      <c r="H28" s="150">
        <v>19777.240000000002</v>
      </c>
      <c r="I28" s="151">
        <f t="shared" si="0"/>
        <v>6427.603000000001</v>
      </c>
      <c r="J28" s="151">
        <f t="shared" si="1"/>
        <v>26204.843000000001</v>
      </c>
      <c r="K28" s="151">
        <f t="shared" si="2"/>
        <v>1871.7745</v>
      </c>
      <c r="L28" s="151">
        <f t="shared" si="3"/>
        <v>28076.6175</v>
      </c>
      <c r="M28" s="152">
        <f t="shared" si="4"/>
        <v>1.1123287671232875</v>
      </c>
      <c r="N28" s="152">
        <f t="shared" si="5"/>
        <v>1</v>
      </c>
      <c r="O28" s="152">
        <f t="shared" si="6"/>
        <v>0</v>
      </c>
    </row>
    <row r="29" spans="1:15" s="152" customFormat="1">
      <c r="A29" s="145" t="s">
        <v>32</v>
      </c>
      <c r="B29" s="146">
        <v>43568</v>
      </c>
      <c r="C29" s="147">
        <v>289</v>
      </c>
      <c r="D29" s="148">
        <v>39</v>
      </c>
      <c r="E29" s="148">
        <v>97.5</v>
      </c>
      <c r="F29" s="149" t="s">
        <v>21</v>
      </c>
      <c r="G29" s="145" t="s">
        <v>10</v>
      </c>
      <c r="H29" s="150">
        <v>19777.240000000002</v>
      </c>
      <c r="I29" s="151">
        <f t="shared" si="0"/>
        <v>6427.603000000001</v>
      </c>
      <c r="J29" s="151">
        <f t="shared" si="1"/>
        <v>26204.843000000001</v>
      </c>
      <c r="K29" s="151">
        <f t="shared" si="2"/>
        <v>1871.7745</v>
      </c>
      <c r="L29" s="151">
        <f t="shared" si="3"/>
        <v>28076.6175</v>
      </c>
      <c r="M29" s="152">
        <f t="shared" si="4"/>
        <v>1.0721461187214611</v>
      </c>
      <c r="N29" s="152">
        <f t="shared" si="5"/>
        <v>1</v>
      </c>
      <c r="O29" s="152">
        <f t="shared" si="6"/>
        <v>0</v>
      </c>
    </row>
    <row r="30" spans="1:15" s="152" customFormat="1">
      <c r="A30" s="145" t="s">
        <v>33</v>
      </c>
      <c r="B30" s="146">
        <v>44501</v>
      </c>
      <c r="C30" s="147">
        <v>501</v>
      </c>
      <c r="D30" s="148">
        <v>39</v>
      </c>
      <c r="E30" s="148">
        <v>97.5</v>
      </c>
      <c r="F30" s="149" t="s">
        <v>21</v>
      </c>
      <c r="G30" s="145" t="s">
        <v>10</v>
      </c>
      <c r="H30" s="150">
        <v>19777.240000000002</v>
      </c>
      <c r="I30" s="151">
        <f t="shared" si="0"/>
        <v>6427.603000000001</v>
      </c>
      <c r="J30" s="151">
        <f t="shared" si="1"/>
        <v>26204.843000000001</v>
      </c>
      <c r="K30" s="151">
        <f t="shared" si="2"/>
        <v>1871.7745</v>
      </c>
      <c r="L30" s="151">
        <f t="shared" si="3"/>
        <v>28076.6175</v>
      </c>
      <c r="M30" s="152">
        <f t="shared" si="4"/>
        <v>0.22009132420091324</v>
      </c>
      <c r="N30" s="152">
        <f t="shared" si="5"/>
        <v>0</v>
      </c>
      <c r="O30" s="152">
        <f t="shared" si="6"/>
        <v>0</v>
      </c>
    </row>
    <row r="31" spans="1:15" s="152" customFormat="1">
      <c r="A31" s="145" t="s">
        <v>34</v>
      </c>
      <c r="B31" s="146">
        <v>43638</v>
      </c>
      <c r="C31" s="147">
        <v>289</v>
      </c>
      <c r="D31" s="148">
        <v>39</v>
      </c>
      <c r="E31" s="148">
        <v>97.5</v>
      </c>
      <c r="F31" s="149" t="s">
        <v>21</v>
      </c>
      <c r="G31" s="145" t="s">
        <v>10</v>
      </c>
      <c r="H31" s="150">
        <v>19777.240000000002</v>
      </c>
      <c r="I31" s="151">
        <f t="shared" si="0"/>
        <v>6427.603000000001</v>
      </c>
      <c r="J31" s="151">
        <f t="shared" si="1"/>
        <v>26204.843000000001</v>
      </c>
      <c r="K31" s="151">
        <f t="shared" si="2"/>
        <v>1871.7745</v>
      </c>
      <c r="L31" s="151">
        <f t="shared" si="3"/>
        <v>28076.6175</v>
      </c>
      <c r="M31" s="152">
        <f t="shared" si="4"/>
        <v>1.0082191780821919</v>
      </c>
      <c r="N31" s="152">
        <f t="shared" si="5"/>
        <v>1</v>
      </c>
      <c r="O31" s="152">
        <f t="shared" si="6"/>
        <v>0</v>
      </c>
    </row>
    <row r="32" spans="1:15" s="152" customFormat="1">
      <c r="A32" s="145" t="s">
        <v>35</v>
      </c>
      <c r="B32" s="146">
        <v>43657</v>
      </c>
      <c r="C32" s="147">
        <v>289</v>
      </c>
      <c r="D32" s="148">
        <v>39</v>
      </c>
      <c r="E32" s="148">
        <v>97.5</v>
      </c>
      <c r="F32" s="149" t="s">
        <v>21</v>
      </c>
      <c r="G32" s="145" t="s">
        <v>10</v>
      </c>
      <c r="H32" s="150">
        <v>19777.240000000002</v>
      </c>
      <c r="I32" s="151">
        <f t="shared" si="0"/>
        <v>6427.603000000001</v>
      </c>
      <c r="J32" s="151">
        <f t="shared" si="1"/>
        <v>26204.843000000001</v>
      </c>
      <c r="K32" s="151">
        <f t="shared" si="2"/>
        <v>1871.7745</v>
      </c>
      <c r="L32" s="151">
        <f t="shared" si="3"/>
        <v>28076.6175</v>
      </c>
      <c r="M32" s="152">
        <f t="shared" si="4"/>
        <v>0.9908675799086758</v>
      </c>
      <c r="N32" s="152">
        <f t="shared" si="5"/>
        <v>0</v>
      </c>
      <c r="O32" s="152">
        <f t="shared" si="6"/>
        <v>0</v>
      </c>
    </row>
    <row r="33" spans="1:15" s="152" customFormat="1">
      <c r="A33" s="145" t="s">
        <v>36</v>
      </c>
      <c r="B33" s="146">
        <v>44501</v>
      </c>
      <c r="C33" s="147">
        <v>501</v>
      </c>
      <c r="D33" s="148">
        <v>39</v>
      </c>
      <c r="E33" s="148">
        <v>97.5</v>
      </c>
      <c r="F33" s="149" t="s">
        <v>21</v>
      </c>
      <c r="G33" s="145" t="s">
        <v>10</v>
      </c>
      <c r="H33" s="150">
        <v>19777.240000000002</v>
      </c>
      <c r="I33" s="151">
        <f t="shared" si="0"/>
        <v>6427.603000000001</v>
      </c>
      <c r="J33" s="151">
        <f t="shared" si="1"/>
        <v>26204.843000000001</v>
      </c>
      <c r="K33" s="151">
        <f t="shared" si="2"/>
        <v>1871.7745</v>
      </c>
      <c r="L33" s="151">
        <f t="shared" si="3"/>
        <v>28076.6175</v>
      </c>
      <c r="M33" s="152">
        <f t="shared" si="4"/>
        <v>0.22009132420091324</v>
      </c>
      <c r="N33" s="152">
        <f t="shared" si="5"/>
        <v>0</v>
      </c>
      <c r="O33" s="152">
        <f t="shared" si="6"/>
        <v>0</v>
      </c>
    </row>
    <row r="34" spans="1:15" s="152" customFormat="1">
      <c r="A34" s="145" t="s">
        <v>37</v>
      </c>
      <c r="B34" s="146">
        <v>44562</v>
      </c>
      <c r="C34" s="147">
        <v>501</v>
      </c>
      <c r="D34" s="148">
        <v>39</v>
      </c>
      <c r="E34" s="148">
        <v>97.5</v>
      </c>
      <c r="F34" s="149" t="s">
        <v>21</v>
      </c>
      <c r="G34" s="145" t="s">
        <v>10</v>
      </c>
      <c r="H34" s="150">
        <v>19777.240000000002</v>
      </c>
      <c r="I34" s="151">
        <f t="shared" si="0"/>
        <v>6427.603000000001</v>
      </c>
      <c r="J34" s="151">
        <f t="shared" si="1"/>
        <v>26204.843000000001</v>
      </c>
      <c r="K34" s="151">
        <f t="shared" si="2"/>
        <v>1871.7745</v>
      </c>
      <c r="L34" s="151">
        <f t="shared" si="3"/>
        <v>28076.6175</v>
      </c>
      <c r="M34" s="152">
        <f t="shared" si="4"/>
        <v>0.16438356164383561</v>
      </c>
      <c r="N34" s="152">
        <f t="shared" si="5"/>
        <v>0</v>
      </c>
      <c r="O34" s="152">
        <f t="shared" si="6"/>
        <v>0</v>
      </c>
    </row>
    <row r="35" spans="1:15" s="152" customFormat="1">
      <c r="A35" s="145" t="s">
        <v>38</v>
      </c>
      <c r="B35" s="146">
        <v>44473</v>
      </c>
      <c r="C35" s="147">
        <v>501</v>
      </c>
      <c r="D35" s="148">
        <v>39</v>
      </c>
      <c r="E35" s="148">
        <v>97.5</v>
      </c>
      <c r="F35" s="149" t="s">
        <v>21</v>
      </c>
      <c r="G35" s="145" t="s">
        <v>10</v>
      </c>
      <c r="H35" s="150">
        <v>19777.240000000002</v>
      </c>
      <c r="I35" s="151">
        <f t="shared" si="0"/>
        <v>6427.603000000001</v>
      </c>
      <c r="J35" s="151">
        <f t="shared" si="1"/>
        <v>26204.843000000001</v>
      </c>
      <c r="K35" s="151">
        <f t="shared" si="2"/>
        <v>1871.7745</v>
      </c>
      <c r="L35" s="151">
        <f t="shared" si="3"/>
        <v>28076.6175</v>
      </c>
      <c r="M35" s="152">
        <f t="shared" si="4"/>
        <v>0.24566210045662099</v>
      </c>
      <c r="N35" s="152">
        <f t="shared" si="5"/>
        <v>0</v>
      </c>
      <c r="O35" s="152">
        <f t="shared" si="6"/>
        <v>0</v>
      </c>
    </row>
    <row r="36" spans="1:15" s="152" customFormat="1">
      <c r="A36" s="145" t="s">
        <v>39</v>
      </c>
      <c r="B36" s="146">
        <v>44526</v>
      </c>
      <c r="C36" s="147">
        <v>501</v>
      </c>
      <c r="D36" s="148">
        <v>39</v>
      </c>
      <c r="E36" s="148">
        <v>97.5</v>
      </c>
      <c r="F36" s="149" t="s">
        <v>21</v>
      </c>
      <c r="G36" s="145" t="s">
        <v>10</v>
      </c>
      <c r="H36" s="150">
        <v>19777.240000000002</v>
      </c>
      <c r="I36" s="151">
        <f t="shared" si="0"/>
        <v>6427.603000000001</v>
      </c>
      <c r="J36" s="151">
        <f t="shared" si="1"/>
        <v>26204.843000000001</v>
      </c>
      <c r="K36" s="151">
        <f t="shared" si="2"/>
        <v>1871.7745</v>
      </c>
      <c r="L36" s="151">
        <f t="shared" si="3"/>
        <v>28076.6175</v>
      </c>
      <c r="M36" s="152">
        <f t="shared" si="4"/>
        <v>0.19726027397260273</v>
      </c>
      <c r="N36" s="152">
        <f t="shared" si="5"/>
        <v>0</v>
      </c>
      <c r="O36" s="152">
        <f t="shared" si="6"/>
        <v>0</v>
      </c>
    </row>
    <row r="37" spans="1:15" s="152" customFormat="1">
      <c r="A37" s="145" t="s">
        <v>32</v>
      </c>
      <c r="B37" s="146">
        <v>44522</v>
      </c>
      <c r="C37" s="147">
        <v>501</v>
      </c>
      <c r="D37" s="148">
        <v>39</v>
      </c>
      <c r="E37" s="148">
        <v>97.5</v>
      </c>
      <c r="F37" s="149" t="s">
        <v>21</v>
      </c>
      <c r="G37" s="145" t="s">
        <v>10</v>
      </c>
      <c r="H37" s="150">
        <v>19777.240000000002</v>
      </c>
      <c r="I37" s="151">
        <f t="shared" si="0"/>
        <v>6427.603000000001</v>
      </c>
      <c r="J37" s="151">
        <f t="shared" si="1"/>
        <v>26204.843000000001</v>
      </c>
      <c r="K37" s="151">
        <f t="shared" si="2"/>
        <v>1871.7745</v>
      </c>
      <c r="L37" s="151">
        <f t="shared" si="3"/>
        <v>28076.6175</v>
      </c>
      <c r="M37" s="152">
        <f t="shared" si="4"/>
        <v>0.20091324200913241</v>
      </c>
      <c r="N37" s="152">
        <f t="shared" si="5"/>
        <v>0</v>
      </c>
      <c r="O37" s="152">
        <f t="shared" si="6"/>
        <v>0</v>
      </c>
    </row>
    <row r="38" spans="1:15" s="152" customFormat="1">
      <c r="A38" s="145" t="str">
        <f>+[1]PAlleja!C9</f>
        <v>GMJ</v>
      </c>
      <c r="B38" s="146">
        <f>+[1]PAlleja!H9</f>
        <v>43712</v>
      </c>
      <c r="C38" s="147">
        <f>+[1]PAlleja!D9</f>
        <v>200</v>
      </c>
      <c r="D38" s="148">
        <f>+[1]PAlleja!Z9/2</f>
        <v>19.5</v>
      </c>
      <c r="E38" s="148">
        <f>+[1]PAlleja!AA9</f>
        <v>97.5</v>
      </c>
      <c r="F38" s="149" t="str">
        <f>+[1]PAlleja!V9</f>
        <v>DIETISTA</v>
      </c>
      <c r="G38" s="145" t="str">
        <f>+[1]PAlleja!S9</f>
        <v>CE Rest Colect</v>
      </c>
      <c r="H38" s="150">
        <v>19777.240000000002</v>
      </c>
      <c r="I38" s="151">
        <f t="shared" si="0"/>
        <v>6427.603000000001</v>
      </c>
      <c r="J38" s="151">
        <f t="shared" si="1"/>
        <v>26204.843000000001</v>
      </c>
      <c r="K38" s="151">
        <f t="shared" si="2"/>
        <v>1871.7745</v>
      </c>
      <c r="L38" s="151">
        <f t="shared" si="3"/>
        <v>28076.6175</v>
      </c>
      <c r="M38" s="152">
        <f t="shared" si="4"/>
        <v>0.94063926940639275</v>
      </c>
      <c r="N38" s="152">
        <f t="shared" si="5"/>
        <v>0</v>
      </c>
      <c r="O38" s="152">
        <f t="shared" si="6"/>
        <v>0</v>
      </c>
    </row>
    <row r="39" spans="1:15" s="152" customFormat="1">
      <c r="A39" s="145" t="s">
        <v>40</v>
      </c>
      <c r="B39" s="146">
        <v>43374</v>
      </c>
      <c r="C39" s="147">
        <v>289</v>
      </c>
      <c r="D39" s="148">
        <v>39</v>
      </c>
      <c r="E39" s="148">
        <v>97.5</v>
      </c>
      <c r="F39" s="149" t="s">
        <v>41</v>
      </c>
      <c r="G39" s="145" t="s">
        <v>10</v>
      </c>
      <c r="H39" s="150">
        <v>23053.06</v>
      </c>
      <c r="I39" s="151">
        <f t="shared" si="0"/>
        <v>7492.2445000000007</v>
      </c>
      <c r="J39" s="151">
        <f t="shared" si="1"/>
        <v>30545.304500000002</v>
      </c>
      <c r="K39" s="151">
        <f t="shared" si="2"/>
        <v>2181.8074642857146</v>
      </c>
      <c r="L39" s="151">
        <f t="shared" si="3"/>
        <v>32727.111964285716</v>
      </c>
      <c r="M39" s="152">
        <f t="shared" si="4"/>
        <v>1.2493150684931507</v>
      </c>
      <c r="N39" s="152">
        <f t="shared" si="5"/>
        <v>1</v>
      </c>
      <c r="O39" s="152">
        <f t="shared" si="6"/>
        <v>0</v>
      </c>
    </row>
    <row r="40" spans="1:15" s="152" customFormat="1">
      <c r="A40" s="145" t="str">
        <f>+[1]PAlleja!C5</f>
        <v>SP</v>
      </c>
      <c r="B40" s="146">
        <f>+[1]PAlleja!H5</f>
        <v>40094</v>
      </c>
      <c r="C40" s="147">
        <f>+[1]PAlleja!D5</f>
        <v>100</v>
      </c>
      <c r="D40" s="148">
        <f>+[1]PAlleja!Z5</f>
        <v>40</v>
      </c>
      <c r="E40" s="148">
        <f>+[1]PAlleja!AA5</f>
        <v>100</v>
      </c>
      <c r="F40" s="149" t="str">
        <f>+[1]PAlleja!V5</f>
        <v>JEFE DE PARTIDA</v>
      </c>
      <c r="G40" s="145" t="str">
        <f>+[1]PAlleja!S5</f>
        <v>CE Rest Colect</v>
      </c>
      <c r="H40" s="150">
        <v>21099.360000000001</v>
      </c>
      <c r="I40" s="151">
        <f t="shared" si="0"/>
        <v>6857.2920000000004</v>
      </c>
      <c r="J40" s="151">
        <f t="shared" si="1"/>
        <v>27956.652000000002</v>
      </c>
      <c r="K40" s="151">
        <f t="shared" si="2"/>
        <v>1996.9037142857144</v>
      </c>
      <c r="L40" s="151">
        <f t="shared" si="3"/>
        <v>29953.555714285718</v>
      </c>
      <c r="M40" s="152">
        <f t="shared" si="4"/>
        <v>4.2447488584474886</v>
      </c>
      <c r="N40" s="152">
        <f t="shared" si="5"/>
        <v>4</v>
      </c>
      <c r="O40" s="152">
        <f t="shared" si="6"/>
        <v>0</v>
      </c>
    </row>
    <row r="41" spans="1:15" s="152" customFormat="1">
      <c r="A41" s="145" t="s">
        <v>230</v>
      </c>
      <c r="B41" s="146">
        <v>44652</v>
      </c>
      <c r="C41" s="147">
        <v>510</v>
      </c>
      <c r="D41" s="148">
        <v>32</v>
      </c>
      <c r="E41" s="148">
        <v>80</v>
      </c>
      <c r="F41" s="149" t="s">
        <v>43</v>
      </c>
      <c r="G41" s="145" t="s">
        <v>10</v>
      </c>
      <c r="H41" s="150">
        <v>14777.28</v>
      </c>
      <c r="I41" s="151">
        <f t="shared" si="0"/>
        <v>4802.616</v>
      </c>
      <c r="J41" s="151">
        <f t="shared" si="1"/>
        <v>19579.896000000001</v>
      </c>
      <c r="K41" s="151">
        <f t="shared" si="2"/>
        <v>1398.5640000000001</v>
      </c>
      <c r="L41" s="151">
        <f t="shared" si="3"/>
        <v>20978.46</v>
      </c>
      <c r="M41" s="152">
        <f t="shared" ref="M41" si="7">(($M$1-B41)/365)/3</f>
        <v>8.2191780821917804E-2</v>
      </c>
      <c r="N41" s="152">
        <f t="shared" ref="N41" si="8">INT(M41)</f>
        <v>0</v>
      </c>
      <c r="O41" s="152">
        <f t="shared" ref="O41" si="9">N41*$O$1</f>
        <v>0</v>
      </c>
    </row>
    <row r="42" spans="1:15" s="152" customFormat="1">
      <c r="A42" s="145" t="s">
        <v>42</v>
      </c>
      <c r="B42" s="146">
        <v>40274</v>
      </c>
      <c r="C42" s="147">
        <v>100</v>
      </c>
      <c r="D42" s="148">
        <v>40</v>
      </c>
      <c r="E42" s="148">
        <v>100</v>
      </c>
      <c r="F42" s="149" t="s">
        <v>43</v>
      </c>
      <c r="G42" s="145" t="s">
        <v>10</v>
      </c>
      <c r="H42" s="150">
        <v>18433.38</v>
      </c>
      <c r="I42" s="151">
        <f t="shared" si="0"/>
        <v>5990.848500000001</v>
      </c>
      <c r="J42" s="151">
        <f t="shared" si="1"/>
        <v>24424.228500000001</v>
      </c>
      <c r="K42" s="151">
        <f t="shared" si="2"/>
        <v>1744.5877500000001</v>
      </c>
      <c r="L42" s="151">
        <f t="shared" si="3"/>
        <v>26168.81625</v>
      </c>
      <c r="M42" s="152">
        <f t="shared" si="4"/>
        <v>4.0803652968036532</v>
      </c>
      <c r="N42" s="152">
        <f t="shared" si="5"/>
        <v>4</v>
      </c>
      <c r="O42" s="152">
        <f t="shared" si="6"/>
        <v>0</v>
      </c>
    </row>
    <row r="43" spans="1:15">
      <c r="H43" s="12">
        <f>SUM(H3:H42)</f>
        <v>780714.49999999988</v>
      </c>
      <c r="I43" s="17">
        <f>SUM(I3:I42)</f>
        <v>253732.21250000002</v>
      </c>
      <c r="J43" s="17">
        <f>SUM(J3:J42)</f>
        <v>1034446.7124999999</v>
      </c>
      <c r="K43" s="17">
        <f>SUM(K3:K42)</f>
        <v>73889.050892857136</v>
      </c>
      <c r="L43" s="17">
        <f>SUM(L3:L42)</f>
        <v>1108335.7633928577</v>
      </c>
    </row>
    <row r="44" spans="1:15">
      <c r="H44" s="14"/>
    </row>
  </sheetData>
  <autoFilter ref="A2:O43"/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10"/>
  <sheetViews>
    <sheetView topLeftCell="A7" zoomScaleNormal="100" workbookViewId="0">
      <selection activeCell="B21" sqref="B21"/>
    </sheetView>
  </sheetViews>
  <sheetFormatPr defaultColWidth="8.7265625" defaultRowHeight="14.5"/>
  <cols>
    <col min="1" max="1" width="45.1796875" style="11" customWidth="1"/>
    <col min="2" max="2" width="9.453125" style="11" bestFit="1" customWidth="1"/>
    <col min="3" max="3" width="13.1796875" style="11" bestFit="1" customWidth="1"/>
    <col min="4" max="4" width="10.7265625" style="11" customWidth="1"/>
    <col min="5" max="6" width="15.26953125" style="11" bestFit="1" customWidth="1"/>
    <col min="7" max="7" width="16.81640625" style="11" bestFit="1" customWidth="1"/>
    <col min="8" max="8" width="22" style="11" bestFit="1" customWidth="1"/>
    <col min="9" max="9" width="16.7265625" style="11" bestFit="1" customWidth="1"/>
    <col min="10" max="10" width="13.54296875" style="11" bestFit="1" customWidth="1"/>
    <col min="11" max="11" width="16.26953125" style="11" bestFit="1" customWidth="1"/>
    <col min="12" max="12" width="8.1796875" style="11" bestFit="1" customWidth="1"/>
    <col min="13" max="13" width="16.26953125" style="11" customWidth="1"/>
    <col min="14" max="14" width="17.453125" style="11" bestFit="1" customWidth="1"/>
    <col min="15" max="15" width="14.7265625" style="11" customWidth="1"/>
    <col min="16" max="16" width="7.26953125" style="11" bestFit="1" customWidth="1"/>
    <col min="17" max="19" width="8.7265625" style="11"/>
    <col min="20" max="21" width="9.54296875" style="11" bestFit="1" customWidth="1"/>
    <col min="22" max="22" width="8.7265625" style="11"/>
    <col min="23" max="23" width="9.54296875" style="11" bestFit="1" customWidth="1"/>
    <col min="24" max="16384" width="8.7265625" style="11"/>
  </cols>
  <sheetData>
    <row r="1" spans="1:14" ht="21">
      <c r="A1" s="366" t="s">
        <v>200</v>
      </c>
      <c r="B1" s="366"/>
      <c r="C1" s="366"/>
      <c r="D1" s="366"/>
      <c r="E1" s="367"/>
      <c r="F1" s="367"/>
      <c r="G1" s="366"/>
      <c r="H1" s="366"/>
    </row>
    <row r="2" spans="1:14">
      <c r="A2" s="100">
        <v>2022</v>
      </c>
      <c r="B2" s="100"/>
      <c r="C2" s="100"/>
      <c r="D2" s="100"/>
      <c r="E2" s="101"/>
      <c r="F2" s="101"/>
      <c r="G2" s="100"/>
      <c r="H2" s="100"/>
    </row>
    <row r="3" spans="1:14">
      <c r="A3" s="368" t="s">
        <v>173</v>
      </c>
      <c r="B3" s="100"/>
      <c r="C3" s="100"/>
      <c r="D3" s="100"/>
      <c r="E3" s="101"/>
      <c r="F3" s="101"/>
      <c r="G3" s="100"/>
      <c r="H3" s="100"/>
    </row>
    <row r="4" spans="1:14">
      <c r="A4" s="100"/>
      <c r="B4" s="100"/>
      <c r="C4" s="100"/>
      <c r="D4" s="100"/>
      <c r="E4" s="101"/>
      <c r="F4" s="101"/>
      <c r="G4" s="100"/>
      <c r="H4" s="100"/>
    </row>
    <row r="5" spans="1:14" ht="60">
      <c r="A5" s="102" t="s">
        <v>174</v>
      </c>
      <c r="B5" s="540" t="s">
        <v>201</v>
      </c>
      <c r="C5" s="540"/>
      <c r="D5" s="540"/>
      <c r="E5" s="540"/>
      <c r="F5" s="103"/>
      <c r="G5" s="107" t="s">
        <v>186</v>
      </c>
      <c r="H5" s="369" t="s">
        <v>331</v>
      </c>
      <c r="I5" s="531" t="s">
        <v>330</v>
      </c>
      <c r="J5" s="532"/>
      <c r="K5" s="532"/>
      <c r="L5" s="533"/>
      <c r="M5" s="100"/>
      <c r="N5" s="100"/>
    </row>
    <row r="6" spans="1:14" ht="16.5">
      <c r="A6" s="102"/>
      <c r="B6" s="370" t="s">
        <v>175</v>
      </c>
      <c r="C6" s="370" t="s">
        <v>176</v>
      </c>
      <c r="D6" s="541" t="s">
        <v>177</v>
      </c>
      <c r="E6" s="542"/>
      <c r="F6" s="103"/>
      <c r="G6" s="102" t="s">
        <v>187</v>
      </c>
      <c r="H6" s="371">
        <v>8</v>
      </c>
      <c r="I6" s="372"/>
      <c r="J6" s="108"/>
      <c r="K6" s="108"/>
      <c r="L6" s="108"/>
      <c r="M6" s="108"/>
      <c r="N6" s="108"/>
    </row>
    <row r="7" spans="1:14">
      <c r="A7" s="373" t="s">
        <v>178</v>
      </c>
      <c r="B7" s="374">
        <v>45352</v>
      </c>
      <c r="C7" s="374">
        <v>46081</v>
      </c>
      <c r="D7" s="541">
        <v>2</v>
      </c>
      <c r="E7" s="542"/>
      <c r="F7" s="103"/>
      <c r="G7" s="102" t="s">
        <v>188</v>
      </c>
      <c r="H7" s="371">
        <f>H6*5</f>
        <v>40</v>
      </c>
      <c r="I7" s="104" t="s">
        <v>189</v>
      </c>
      <c r="J7" s="104" t="s">
        <v>190</v>
      </c>
      <c r="K7" s="104" t="s">
        <v>191</v>
      </c>
      <c r="L7" s="104" t="s">
        <v>192</v>
      </c>
      <c r="M7" s="104" t="s">
        <v>193</v>
      </c>
      <c r="N7" s="104" t="s">
        <v>194</v>
      </c>
    </row>
    <row r="8" spans="1:14">
      <c r="A8" s="373" t="s">
        <v>179</v>
      </c>
      <c r="B8" s="374">
        <v>46082</v>
      </c>
      <c r="C8" s="374">
        <v>46812</v>
      </c>
      <c r="D8" s="541">
        <v>2</v>
      </c>
      <c r="E8" s="542"/>
      <c r="F8" s="103"/>
      <c r="G8" s="102" t="s">
        <v>195</v>
      </c>
      <c r="H8" s="375">
        <f>N8</f>
        <v>217</v>
      </c>
      <c r="I8" s="376">
        <v>365</v>
      </c>
      <c r="J8" s="376">
        <f>[2]utilitats!J24</f>
        <v>100</v>
      </c>
      <c r="K8" s="376">
        <v>14</v>
      </c>
      <c r="L8" s="376">
        <v>30</v>
      </c>
      <c r="M8" s="377">
        <v>4</v>
      </c>
      <c r="N8" s="378">
        <f>I8-J8-K8-L8-M8</f>
        <v>217</v>
      </c>
    </row>
    <row r="9" spans="1:14">
      <c r="A9" s="373" t="s">
        <v>50</v>
      </c>
      <c r="B9" s="543"/>
      <c r="C9" s="544"/>
      <c r="D9" s="541">
        <f>SUM(D7:D8)</f>
        <v>4</v>
      </c>
      <c r="E9" s="542"/>
      <c r="F9" s="103"/>
      <c r="G9" s="102" t="s">
        <v>196</v>
      </c>
      <c r="H9" s="375">
        <f>H6*H8</f>
        <v>1736</v>
      </c>
      <c r="I9" s="356"/>
      <c r="J9" s="100"/>
      <c r="K9" s="101"/>
      <c r="L9" s="101"/>
      <c r="M9" s="100"/>
      <c r="N9" s="100"/>
    </row>
    <row r="10" spans="1:14">
      <c r="A10" s="379" t="s">
        <v>180</v>
      </c>
      <c r="B10" s="380">
        <v>1</v>
      </c>
      <c r="C10" s="536"/>
      <c r="D10" s="536"/>
      <c r="E10" s="536"/>
      <c r="F10" s="103"/>
      <c r="G10" s="102" t="s">
        <v>197</v>
      </c>
      <c r="H10" s="375">
        <v>1791</v>
      </c>
      <c r="I10" s="534"/>
      <c r="J10" s="535"/>
      <c r="K10" s="535"/>
      <c r="L10" s="535"/>
      <c r="M10" s="535"/>
      <c r="N10" s="535"/>
    </row>
    <row r="11" spans="1:14" ht="15.5">
      <c r="A11" s="373" t="s">
        <v>181</v>
      </c>
      <c r="B11" s="381" t="s">
        <v>182</v>
      </c>
      <c r="C11" s="537" t="s">
        <v>201</v>
      </c>
      <c r="D11" s="538"/>
      <c r="E11" s="539"/>
      <c r="F11" s="103"/>
      <c r="G11" s="356"/>
      <c r="H11" s="356"/>
      <c r="I11" s="356"/>
      <c r="J11" s="356"/>
      <c r="K11" s="356"/>
      <c r="L11" s="356"/>
      <c r="M11" s="356"/>
      <c r="N11" s="356"/>
    </row>
    <row r="12" spans="1:14" ht="15" thickBot="1">
      <c r="A12" s="102" t="s">
        <v>183</v>
      </c>
      <c r="B12" s="104">
        <v>7</v>
      </c>
      <c r="C12" s="530" t="s">
        <v>184</v>
      </c>
      <c r="D12" s="530"/>
      <c r="E12" s="530"/>
      <c r="F12" s="103"/>
      <c r="G12" s="105" t="s">
        <v>198</v>
      </c>
      <c r="H12" s="109"/>
      <c r="I12" s="356"/>
      <c r="J12" s="356"/>
      <c r="K12" s="356"/>
      <c r="L12" s="356"/>
      <c r="M12" s="110"/>
      <c r="N12" s="356"/>
    </row>
    <row r="13" spans="1:14" ht="15" thickBot="1">
      <c r="A13" s="102" t="s">
        <v>185</v>
      </c>
      <c r="B13" s="104">
        <f>365</f>
        <v>365</v>
      </c>
      <c r="C13" s="530" t="s">
        <v>184</v>
      </c>
      <c r="D13" s="530"/>
      <c r="E13" s="530"/>
      <c r="F13" s="103"/>
      <c r="G13" s="111" t="s">
        <v>199</v>
      </c>
      <c r="H13" s="112">
        <f>'Original subrogació 2022'!I1</f>
        <v>0.32500000000000001</v>
      </c>
      <c r="I13" s="356"/>
      <c r="J13" s="100"/>
      <c r="K13" s="101"/>
      <c r="L13" s="101"/>
      <c r="M13" s="100"/>
      <c r="N13" s="100"/>
    </row>
    <row r="14" spans="1:14">
      <c r="A14" s="105"/>
      <c r="B14" s="356"/>
      <c r="C14" s="356"/>
      <c r="D14" s="106"/>
      <c r="E14" s="106"/>
      <c r="F14" s="106"/>
      <c r="G14" s="100"/>
      <c r="H14" s="100"/>
    </row>
    <row r="15" spans="1:14">
      <c r="M15" s="349" t="s">
        <v>145</v>
      </c>
      <c r="N15" s="349"/>
    </row>
    <row r="16" spans="1:14">
      <c r="G16" s="11" t="s">
        <v>155</v>
      </c>
      <c r="H16" s="11" t="s">
        <v>146</v>
      </c>
      <c r="I16" s="349" t="s">
        <v>148</v>
      </c>
      <c r="J16" s="349" t="s">
        <v>150</v>
      </c>
      <c r="K16" s="349" t="s">
        <v>143</v>
      </c>
      <c r="L16" s="349"/>
      <c r="M16" s="349" t="s">
        <v>151</v>
      </c>
      <c r="N16" s="349" t="s">
        <v>153</v>
      </c>
    </row>
    <row r="17" spans="1:15">
      <c r="G17" s="11" t="s">
        <v>156</v>
      </c>
      <c r="H17" s="11" t="s">
        <v>147</v>
      </c>
      <c r="I17" s="349" t="s">
        <v>149</v>
      </c>
      <c r="J17" s="349" t="s">
        <v>149</v>
      </c>
      <c r="K17" s="349" t="s">
        <v>144</v>
      </c>
      <c r="L17" s="349" t="s">
        <v>72</v>
      </c>
      <c r="M17" s="349" t="s">
        <v>152</v>
      </c>
      <c r="N17" s="349" t="s">
        <v>152</v>
      </c>
    </row>
    <row r="18" spans="1:15">
      <c r="G18" s="116">
        <f>'Estimacions apats i usuaris'!H34</f>
        <v>1629</v>
      </c>
      <c r="H18" s="116">
        <f>'Estimacions apats i usuaris'!H32</f>
        <v>745834</v>
      </c>
    </row>
    <row r="19" spans="1:15" ht="29">
      <c r="B19" s="11" t="s">
        <v>112</v>
      </c>
      <c r="C19" s="11" t="s">
        <v>78</v>
      </c>
      <c r="D19" s="382" t="s">
        <v>79</v>
      </c>
      <c r="E19" s="11" t="s">
        <v>80</v>
      </c>
      <c r="F19" s="11" t="s">
        <v>63</v>
      </c>
      <c r="G19" s="11" t="s">
        <v>66</v>
      </c>
      <c r="H19" s="11" t="s">
        <v>81</v>
      </c>
      <c r="I19" s="11" t="s">
        <v>50</v>
      </c>
    </row>
    <row r="20" spans="1:15">
      <c r="A20" s="349" t="s">
        <v>73</v>
      </c>
      <c r="D20" s="256"/>
    </row>
    <row r="21" spans="1:15">
      <c r="A21" s="11" t="s">
        <v>204</v>
      </c>
      <c r="B21" s="268">
        <f>'Despeses Personal'!R8</f>
        <v>0.97629999999999995</v>
      </c>
      <c r="C21" s="347">
        <f>D21*$H$9</f>
        <v>34720</v>
      </c>
      <c r="D21" s="256">
        <f>'Despeses Personal'!B8</f>
        <v>20</v>
      </c>
      <c r="E21" s="357">
        <f>ROUND('Despeses Personal'!E8,2)</f>
        <v>403815.4</v>
      </c>
      <c r="F21" s="357">
        <f>ROUND(E21*$H$13,2)</f>
        <v>131240.01</v>
      </c>
      <c r="G21" s="357">
        <f>E21+F21</f>
        <v>535055.41</v>
      </c>
      <c r="H21" s="357">
        <f>ROUND(G21/14,2)</f>
        <v>38218.239999999998</v>
      </c>
      <c r="I21" s="357">
        <f>G21+H21</f>
        <v>573273.65</v>
      </c>
      <c r="J21" s="358">
        <f>I21/$H$18</f>
        <v>0.76863437440502846</v>
      </c>
      <c r="K21" s="66"/>
      <c r="L21" s="66"/>
      <c r="M21" s="66">
        <f>I21</f>
        <v>573273.65</v>
      </c>
      <c r="N21" s="66">
        <f>M21/$H$18</f>
        <v>0.76863437440502846</v>
      </c>
      <c r="O21" s="66"/>
    </row>
    <row r="22" spans="1:15">
      <c r="A22" s="11" t="s">
        <v>205</v>
      </c>
      <c r="B22" s="268">
        <f>'Despeses Personal'!R5</f>
        <v>0.94169999999999998</v>
      </c>
      <c r="C22" s="347">
        <f>D22*$H$9</f>
        <v>10416</v>
      </c>
      <c r="D22" s="256">
        <f>'Despeses Personal'!B5</f>
        <v>6</v>
      </c>
      <c r="E22" s="357">
        <f>ROUND('Despeses Personal'!E5,2)</f>
        <v>106374.64</v>
      </c>
      <c r="F22" s="357">
        <f>ROUND(E22*$H$13,2)</f>
        <v>34571.760000000002</v>
      </c>
      <c r="G22" s="357">
        <f>E22+F22</f>
        <v>140946.4</v>
      </c>
      <c r="H22" s="357">
        <f>ROUND(G22/14,2)</f>
        <v>10067.6</v>
      </c>
      <c r="I22" s="357">
        <f>G22+H22</f>
        <v>151014</v>
      </c>
      <c r="J22" s="358">
        <f t="shared" ref="J22:J40" si="0">I22/$H$18</f>
        <v>0.20247669052362857</v>
      </c>
      <c r="K22" s="66"/>
      <c r="L22" s="66"/>
      <c r="M22" s="66">
        <f t="shared" ref="M22:M33" si="1">I22</f>
        <v>151014</v>
      </c>
      <c r="N22" s="66">
        <f t="shared" ref="N22:N36" si="2">M22/$H$18</f>
        <v>0.20247669052362857</v>
      </c>
      <c r="O22" s="66"/>
    </row>
    <row r="23" spans="1:15">
      <c r="C23" s="347"/>
      <c r="D23" s="256"/>
      <c r="E23" s="357"/>
      <c r="F23" s="357"/>
      <c r="G23" s="357"/>
      <c r="H23" s="357"/>
      <c r="I23" s="357"/>
      <c r="J23" s="358"/>
      <c r="K23" s="66"/>
      <c r="L23" s="66"/>
      <c r="M23" s="66"/>
      <c r="N23" s="66"/>
      <c r="O23" s="66"/>
    </row>
    <row r="24" spans="1:15">
      <c r="A24" s="349" t="s">
        <v>74</v>
      </c>
      <c r="C24" s="347"/>
      <c r="D24" s="256"/>
      <c r="E24" s="357"/>
      <c r="F24" s="357"/>
      <c r="G24" s="357"/>
      <c r="H24" s="357"/>
      <c r="I24" s="357"/>
      <c r="J24" s="358"/>
      <c r="M24" s="66"/>
      <c r="N24" s="66"/>
    </row>
    <row r="25" spans="1:15">
      <c r="A25" s="11" t="s">
        <v>206</v>
      </c>
      <c r="B25" s="268">
        <f>'Despeses Personal'!R10</f>
        <v>0.97499999999999998</v>
      </c>
      <c r="C25" s="347">
        <f>D25*$H$9</f>
        <v>1736</v>
      </c>
      <c r="D25" s="256">
        <f>'Despeses Personal'!B10</f>
        <v>1</v>
      </c>
      <c r="E25" s="357">
        <f>ROUND('Despeses Personal'!E10,2)</f>
        <v>23053.06</v>
      </c>
      <c r="F25" s="357">
        <f>ROUND(E25*$H$13,2)</f>
        <v>7492.24</v>
      </c>
      <c r="G25" s="357">
        <f t="shared" ref="G25:G34" si="3">E25+F25</f>
        <v>30545.300000000003</v>
      </c>
      <c r="H25" s="357">
        <f>ROUND(G25/14,2)</f>
        <v>2181.81</v>
      </c>
      <c r="I25" s="357">
        <f t="shared" ref="I25:I29" si="4">G25+H25</f>
        <v>32727.110000000004</v>
      </c>
      <c r="J25" s="358">
        <f>I25/$H$18</f>
        <v>4.3879884800102978E-2</v>
      </c>
      <c r="K25" s="66"/>
      <c r="L25" s="66"/>
      <c r="M25" s="66">
        <f t="shared" si="1"/>
        <v>32727.110000000004</v>
      </c>
      <c r="N25" s="66">
        <f t="shared" si="2"/>
        <v>4.3879884800102978E-2</v>
      </c>
      <c r="O25" s="66"/>
    </row>
    <row r="26" spans="1:15">
      <c r="A26" s="11" t="s">
        <v>207</v>
      </c>
      <c r="B26" s="268">
        <f>'Despeses Personal'!R9</f>
        <v>0.97499999999999998</v>
      </c>
      <c r="C26" s="347">
        <f>D26*$H$9</f>
        <v>1736</v>
      </c>
      <c r="D26" s="256">
        <f>'Despeses Personal'!B9</f>
        <v>1</v>
      </c>
      <c r="E26" s="357">
        <f>ROUND('Despeses Personal'!E9,2)</f>
        <v>19777.240000000002</v>
      </c>
      <c r="F26" s="357">
        <f>ROUND(E26*$H$13,2)</f>
        <v>6427.6</v>
      </c>
      <c r="G26" s="357">
        <f t="shared" si="3"/>
        <v>26204.840000000004</v>
      </c>
      <c r="H26" s="357">
        <f>ROUND(G26/14,2)</f>
        <v>1871.77</v>
      </c>
      <c r="I26" s="357">
        <f t="shared" si="4"/>
        <v>28076.610000000004</v>
      </c>
      <c r="J26" s="358">
        <f t="shared" si="0"/>
        <v>3.7644583110987166E-2</v>
      </c>
      <c r="K26" s="66"/>
      <c r="L26" s="66"/>
      <c r="M26" s="66">
        <f t="shared" si="1"/>
        <v>28076.610000000004</v>
      </c>
      <c r="N26" s="66">
        <f t="shared" si="2"/>
        <v>3.7644583110987166E-2</v>
      </c>
      <c r="O26" s="66"/>
    </row>
    <row r="27" spans="1:15">
      <c r="A27" s="11" t="s">
        <v>208</v>
      </c>
      <c r="B27" s="268">
        <f>'Despeses Personal'!R3</f>
        <v>1</v>
      </c>
      <c r="C27" s="347">
        <f>D27*$H$9</f>
        <v>1736</v>
      </c>
      <c r="D27" s="256">
        <f>'Despeses Personal'!B3</f>
        <v>1</v>
      </c>
      <c r="E27" s="357">
        <f>ROUND('Despeses Personal'!E3,2)</f>
        <v>21099.360000000001</v>
      </c>
      <c r="F27" s="357">
        <f>ROUND(E27*$H$13,2)</f>
        <v>6857.29</v>
      </c>
      <c r="G27" s="357">
        <f t="shared" si="3"/>
        <v>27956.65</v>
      </c>
      <c r="H27" s="357">
        <f>ROUND(G27/14,2)</f>
        <v>1996.9</v>
      </c>
      <c r="I27" s="357">
        <f>G27+H27</f>
        <v>29953.550000000003</v>
      </c>
      <c r="J27" s="358">
        <f t="shared" si="0"/>
        <v>4.016114845930864E-2</v>
      </c>
      <c r="K27" s="66"/>
      <c r="L27" s="66"/>
      <c r="M27" s="66">
        <f t="shared" si="1"/>
        <v>29953.550000000003</v>
      </c>
      <c r="N27" s="66">
        <f t="shared" si="2"/>
        <v>4.016114845930864E-2</v>
      </c>
      <c r="O27" s="66"/>
    </row>
    <row r="28" spans="1:15">
      <c r="A28" s="11" t="s">
        <v>209</v>
      </c>
      <c r="B28" s="268">
        <f>'Despeses Personal'!R4</f>
        <v>0.97499999999999998</v>
      </c>
      <c r="C28" s="347">
        <f>D28*$H$9</f>
        <v>3472</v>
      </c>
      <c r="D28" s="256">
        <f>'Despeses Personal'!B4</f>
        <v>2</v>
      </c>
      <c r="E28" s="357">
        <f>ROUND('Despeses Personal'!E4,2)</f>
        <v>36634.92</v>
      </c>
      <c r="F28" s="357">
        <f>ROUND(E28*$H$13,2)</f>
        <v>11906.35</v>
      </c>
      <c r="G28" s="357">
        <f t="shared" si="3"/>
        <v>48541.27</v>
      </c>
      <c r="H28" s="357">
        <f>ROUND(G28/14,2)</f>
        <v>3467.23</v>
      </c>
      <c r="I28" s="357">
        <f t="shared" si="4"/>
        <v>52008.5</v>
      </c>
      <c r="J28" s="358">
        <f t="shared" si="0"/>
        <v>6.9732004708822612E-2</v>
      </c>
      <c r="K28" s="66"/>
      <c r="L28" s="66"/>
      <c r="M28" s="66">
        <f t="shared" si="1"/>
        <v>52008.5</v>
      </c>
      <c r="N28" s="66">
        <f t="shared" si="2"/>
        <v>6.9732004708822612E-2</v>
      </c>
      <c r="O28" s="66"/>
    </row>
    <row r="29" spans="1:15">
      <c r="A29" s="11" t="s">
        <v>210</v>
      </c>
      <c r="B29" s="268">
        <f>'Despeses Personal'!R11</f>
        <v>1</v>
      </c>
      <c r="C29" s="347">
        <f>D29*$H$9</f>
        <v>1736</v>
      </c>
      <c r="D29" s="256">
        <f>'Despeses Personal'!B11</f>
        <v>1</v>
      </c>
      <c r="E29" s="357">
        <f>ROUND('Despeses Personal'!E11,2)</f>
        <v>21099.360000000001</v>
      </c>
      <c r="F29" s="357">
        <f>ROUND(E29*$H$13,2)</f>
        <v>6857.29</v>
      </c>
      <c r="G29" s="357">
        <f t="shared" si="3"/>
        <v>27956.65</v>
      </c>
      <c r="H29" s="357">
        <f>ROUND(G29/14,2)</f>
        <v>1996.9</v>
      </c>
      <c r="I29" s="357">
        <f t="shared" si="4"/>
        <v>29953.550000000003</v>
      </c>
      <c r="J29" s="358">
        <f t="shared" si="0"/>
        <v>4.016114845930864E-2</v>
      </c>
      <c r="K29" s="66"/>
      <c r="L29" s="66"/>
      <c r="M29" s="66">
        <f t="shared" si="1"/>
        <v>29953.550000000003</v>
      </c>
      <c r="N29" s="66">
        <f t="shared" si="2"/>
        <v>4.016114845930864E-2</v>
      </c>
      <c r="O29" s="66"/>
    </row>
    <row r="30" spans="1:15">
      <c r="D30" s="256"/>
      <c r="E30" s="357"/>
      <c r="F30" s="357"/>
      <c r="G30" s="357"/>
      <c r="H30" s="357"/>
      <c r="I30" s="357"/>
      <c r="J30" s="358"/>
      <c r="M30" s="66"/>
      <c r="N30" s="66"/>
    </row>
    <row r="31" spans="1:15">
      <c r="A31" s="11" t="s">
        <v>211</v>
      </c>
      <c r="B31" s="268">
        <v>0</v>
      </c>
      <c r="D31" s="256"/>
      <c r="E31" s="357">
        <f>ROUND(($E$21+$E$22+SUM($E$25:$E$29))*B31,2)</f>
        <v>0</v>
      </c>
      <c r="F31" s="357">
        <f>ROUND(E31*$H$13,2)</f>
        <v>0</v>
      </c>
      <c r="G31" s="357">
        <f t="shared" si="3"/>
        <v>0</v>
      </c>
      <c r="H31" s="357">
        <f>ROUND(G31/14,2)</f>
        <v>0</v>
      </c>
      <c r="I31" s="357">
        <f>G31+H31</f>
        <v>0</v>
      </c>
      <c r="J31" s="358">
        <f>I31/$H$18</f>
        <v>0</v>
      </c>
      <c r="K31" s="66"/>
      <c r="L31" s="66"/>
      <c r="M31" s="66">
        <f t="shared" si="1"/>
        <v>0</v>
      </c>
      <c r="N31" s="66">
        <f t="shared" si="2"/>
        <v>0</v>
      </c>
      <c r="O31" s="66"/>
    </row>
    <row r="32" spans="1:15">
      <c r="A32" s="11" t="s">
        <v>212</v>
      </c>
      <c r="B32" s="268">
        <v>6.3E-2</v>
      </c>
      <c r="D32" s="256"/>
      <c r="E32" s="357">
        <f>ROUND(($E$21+$E$22+SUM($E$25:$E$29))*B32,2)</f>
        <v>39806.800000000003</v>
      </c>
      <c r="F32" s="357">
        <f>ROUND(E32*$H$13,2)</f>
        <v>12937.21</v>
      </c>
      <c r="G32" s="357">
        <f t="shared" si="3"/>
        <v>52744.01</v>
      </c>
      <c r="H32" s="357">
        <f>ROUND(G32/14,2)</f>
        <v>3767.43</v>
      </c>
      <c r="I32" s="357">
        <f>G32+H32</f>
        <v>56511.44</v>
      </c>
      <c r="J32" s="358">
        <f t="shared" si="0"/>
        <v>7.5769460764727806E-2</v>
      </c>
      <c r="K32" s="66"/>
      <c r="L32" s="66"/>
      <c r="M32" s="66">
        <f t="shared" si="1"/>
        <v>56511.44</v>
      </c>
      <c r="N32" s="66">
        <f t="shared" si="2"/>
        <v>7.5769460764727806E-2</v>
      </c>
      <c r="O32" s="66"/>
    </row>
    <row r="33" spans="1:15">
      <c r="A33" s="11" t="s">
        <v>213</v>
      </c>
      <c r="B33" s="268">
        <v>0.01</v>
      </c>
      <c r="D33" s="256"/>
      <c r="E33" s="357">
        <f>ROUND(($E$21+$E$22+SUM($E$25:$E$29))*B33,2)</f>
        <v>6318.54</v>
      </c>
      <c r="F33" s="357">
        <f>ROUND(E33*$H$13,2)</f>
        <v>2053.5300000000002</v>
      </c>
      <c r="G33" s="357">
        <f t="shared" si="3"/>
        <v>8372.07</v>
      </c>
      <c r="H33" s="357">
        <f>ROUND(G33/14,2)</f>
        <v>598.01</v>
      </c>
      <c r="I33" s="357">
        <f>G33+H33</f>
        <v>8970.08</v>
      </c>
      <c r="J33" s="358">
        <f t="shared" si="0"/>
        <v>1.2026912154715392E-2</v>
      </c>
      <c r="K33" s="66"/>
      <c r="L33" s="66"/>
      <c r="M33" s="66">
        <f t="shared" si="1"/>
        <v>8970.08</v>
      </c>
      <c r="N33" s="66">
        <f t="shared" si="2"/>
        <v>1.2026912154715392E-2</v>
      </c>
      <c r="O33" s="66"/>
    </row>
    <row r="34" spans="1:15">
      <c r="A34" s="11" t="s">
        <v>214</v>
      </c>
      <c r="B34" s="268">
        <v>0.01</v>
      </c>
      <c r="D34" s="256"/>
      <c r="E34" s="357">
        <f>ROUND(($E$21+$E$22+SUM($E$25:$E$29))*B34,2)</f>
        <v>6318.54</v>
      </c>
      <c r="F34" s="357">
        <f>ROUND(E34*$H$13,2)</f>
        <v>2053.5300000000002</v>
      </c>
      <c r="G34" s="357">
        <f t="shared" si="3"/>
        <v>8372.07</v>
      </c>
      <c r="H34" s="357">
        <f>ROUND(G34/14,2)</f>
        <v>598.01</v>
      </c>
      <c r="I34" s="357">
        <f>G34+H34</f>
        <v>8970.08</v>
      </c>
      <c r="J34" s="358">
        <f t="shared" si="0"/>
        <v>1.2026912154715392E-2</v>
      </c>
      <c r="K34" s="66"/>
      <c r="L34" s="66"/>
      <c r="M34" s="66">
        <f>I34</f>
        <v>8970.08</v>
      </c>
      <c r="N34" s="66">
        <f t="shared" si="2"/>
        <v>1.2026912154715392E-2</v>
      </c>
      <c r="O34" s="66"/>
    </row>
    <row r="35" spans="1:15">
      <c r="D35" s="256"/>
      <c r="J35" s="65"/>
    </row>
    <row r="36" spans="1:15" s="349" customFormat="1">
      <c r="A36" s="359" t="s">
        <v>77</v>
      </c>
      <c r="B36" s="348"/>
      <c r="C36" s="348"/>
      <c r="D36" s="350">
        <f>SUM(D21:D34)</f>
        <v>32</v>
      </c>
      <c r="E36" s="360">
        <f>E21+E22+SUM(E25:E29)+SUM(E31:E34)</f>
        <v>684297.86</v>
      </c>
      <c r="F36" s="360">
        <f t="shared" ref="F36:G36" si="5">F21+F22+SUM(F25:F29)+SUM(F31:F34)</f>
        <v>222396.81000000003</v>
      </c>
      <c r="G36" s="360">
        <f t="shared" si="5"/>
        <v>906694.67</v>
      </c>
      <c r="H36" s="360">
        <f>H21+H22+SUM(H25:H29)+SUM(H31:H34)</f>
        <v>64763.899999999994</v>
      </c>
      <c r="I36" s="360">
        <f>I21+I22+SUM(I25:I29)+SUM(I31:I34)</f>
        <v>971458.57</v>
      </c>
      <c r="J36" s="361">
        <f>I36/$H$18</f>
        <v>1.3025131195413455</v>
      </c>
      <c r="K36" s="362"/>
      <c r="L36" s="363">
        <f>J36/$J$100</f>
        <v>0.2093944341830915</v>
      </c>
      <c r="M36" s="364">
        <f>M21+M22+SUM(M25:M29)+SUM(M31:M34)</f>
        <v>971458.57</v>
      </c>
      <c r="N36" s="66">
        <f t="shared" si="2"/>
        <v>1.3025131195413455</v>
      </c>
      <c r="O36" s="362"/>
    </row>
    <row r="37" spans="1:15">
      <c r="D37" s="256"/>
      <c r="E37" s="357"/>
      <c r="F37" s="357"/>
      <c r="G37" s="357"/>
      <c r="H37" s="357"/>
      <c r="I37" s="357"/>
      <c r="J37" s="358"/>
    </row>
    <row r="38" spans="1:15" s="349" customFormat="1">
      <c r="A38" s="349" t="s">
        <v>75</v>
      </c>
      <c r="D38" s="351"/>
      <c r="E38" s="365"/>
      <c r="F38" s="365"/>
      <c r="G38" s="365"/>
      <c r="H38" s="365"/>
      <c r="I38" s="365"/>
      <c r="J38" s="358"/>
    </row>
    <row r="39" spans="1:15">
      <c r="A39" s="11" t="s">
        <v>215</v>
      </c>
      <c r="B39" s="268">
        <f>'Despeses Personal'!R7</f>
        <v>1</v>
      </c>
      <c r="C39" s="347">
        <f>D39*$H$9</f>
        <v>3472</v>
      </c>
      <c r="D39" s="256">
        <f>'Despeses Personal'!B7</f>
        <v>2</v>
      </c>
      <c r="E39" s="357">
        <f>ROUND('Despeses Personal'!E7,2)</f>
        <v>47773.120000000003</v>
      </c>
      <c r="F39" s="357">
        <f>ROUND(E39*$H$13,2)</f>
        <v>15526.26</v>
      </c>
      <c r="G39" s="357">
        <f>E39+F39</f>
        <v>63299.380000000005</v>
      </c>
      <c r="H39" s="357">
        <f>ROUND(G39/14,2)</f>
        <v>4521.38</v>
      </c>
      <c r="I39" s="357">
        <f>G39+H39</f>
        <v>67820.760000000009</v>
      </c>
      <c r="J39" s="358">
        <f>I39/$H$18</f>
        <v>9.0932781289134054E-2</v>
      </c>
      <c r="K39" s="66"/>
      <c r="L39" s="66"/>
      <c r="M39" s="66">
        <f>I39</f>
        <v>67820.760000000009</v>
      </c>
      <c r="N39" s="66">
        <f t="shared" ref="N39:N46" si="6">M39/$H$18</f>
        <v>9.0932781289134054E-2</v>
      </c>
      <c r="O39" s="66"/>
    </row>
    <row r="40" spans="1:15">
      <c r="A40" s="11" t="s">
        <v>216</v>
      </c>
      <c r="B40" s="268">
        <f>'Despeses Personal'!R12</f>
        <v>0.9</v>
      </c>
      <c r="C40" s="347">
        <f>D40*$H$9</f>
        <v>3472</v>
      </c>
      <c r="D40" s="256">
        <f>'Despeses Personal'!B12</f>
        <v>2</v>
      </c>
      <c r="E40" s="357">
        <f>ROUND('Despeses Personal'!E12,2)</f>
        <v>33210.660000000003</v>
      </c>
      <c r="F40" s="357">
        <f>ROUND(E40*$H$13,2)</f>
        <v>10793.46</v>
      </c>
      <c r="G40" s="357">
        <f t="shared" ref="G40:G46" si="7">E40+F40</f>
        <v>44004.12</v>
      </c>
      <c r="H40" s="357">
        <f>ROUND(G40/14,2)</f>
        <v>3143.15</v>
      </c>
      <c r="I40" s="357">
        <f>G40+H40</f>
        <v>47147.270000000004</v>
      </c>
      <c r="J40" s="358">
        <f t="shared" si="0"/>
        <v>6.3214160255499224E-2</v>
      </c>
      <c r="K40" s="66"/>
      <c r="L40" s="66"/>
      <c r="M40" s="66">
        <f t="shared" ref="M40:M46" si="8">I40</f>
        <v>47147.270000000004</v>
      </c>
      <c r="N40" s="66">
        <f t="shared" si="6"/>
        <v>6.3214160255499224E-2</v>
      </c>
      <c r="O40" s="66"/>
    </row>
    <row r="41" spans="1:15">
      <c r="A41" s="11" t="s">
        <v>217</v>
      </c>
      <c r="B41" s="268">
        <f>'Despeses Personal'!R6</f>
        <v>0.9</v>
      </c>
      <c r="C41" s="347">
        <f>D41*$H$9</f>
        <v>6944</v>
      </c>
      <c r="D41" s="256">
        <f>'Despeses Personal'!B6</f>
        <v>4</v>
      </c>
      <c r="E41" s="357">
        <f>ROUND('Despeses Personal'!E6,2)</f>
        <v>67876.740000000005</v>
      </c>
      <c r="F41" s="357">
        <f>ROUND(E41*$H$13,2)</f>
        <v>22059.94</v>
      </c>
      <c r="G41" s="357">
        <f t="shared" si="7"/>
        <v>89936.680000000008</v>
      </c>
      <c r="H41" s="357">
        <f>ROUND(G41/14,2)</f>
        <v>6424.05</v>
      </c>
      <c r="I41" s="357">
        <f>G41+H41</f>
        <v>96360.73000000001</v>
      </c>
      <c r="J41" s="358">
        <f>I41/$H$18</f>
        <v>0.12919862864927051</v>
      </c>
      <c r="K41" s="66"/>
      <c r="L41" s="66"/>
      <c r="M41" s="66">
        <f t="shared" si="8"/>
        <v>96360.73000000001</v>
      </c>
      <c r="N41" s="66">
        <f t="shared" si="6"/>
        <v>0.12919862864927051</v>
      </c>
      <c r="O41" s="66"/>
    </row>
    <row r="42" spans="1:15">
      <c r="D42" s="256"/>
      <c r="E42" s="357"/>
      <c r="F42" s="357"/>
      <c r="G42" s="357"/>
      <c r="H42" s="357"/>
      <c r="I42" s="357"/>
      <c r="J42" s="357"/>
      <c r="M42" s="66"/>
      <c r="N42" s="66"/>
    </row>
    <row r="43" spans="1:15">
      <c r="A43" s="11" t="s">
        <v>211</v>
      </c>
      <c r="B43" s="268">
        <v>0</v>
      </c>
      <c r="D43" s="256"/>
      <c r="E43" s="357">
        <f>ROUND(SUM($E$39:$E$41)*B43,2)</f>
        <v>0</v>
      </c>
      <c r="F43" s="357">
        <f>ROUND(E43*$H$13,2)</f>
        <v>0</v>
      </c>
      <c r="G43" s="357">
        <f t="shared" si="7"/>
        <v>0</v>
      </c>
      <c r="H43" s="357">
        <f>ROUND(G43/14,2)</f>
        <v>0</v>
      </c>
      <c r="I43" s="357">
        <f>G43+H43</f>
        <v>0</v>
      </c>
      <c r="J43" s="358">
        <f>I43/$H$18</f>
        <v>0</v>
      </c>
      <c r="K43" s="66"/>
      <c r="L43" s="66"/>
      <c r="M43" s="66">
        <f t="shared" si="8"/>
        <v>0</v>
      </c>
      <c r="N43" s="66">
        <f t="shared" si="6"/>
        <v>0</v>
      </c>
      <c r="O43" s="66"/>
    </row>
    <row r="44" spans="1:15">
      <c r="A44" s="11" t="s">
        <v>212</v>
      </c>
      <c r="B44" s="268">
        <v>6.3E-2</v>
      </c>
      <c r="D44" s="256"/>
      <c r="E44" s="357">
        <f>ROUND(SUM($E$39:$E$41)*B44,2)</f>
        <v>9378.2099999999991</v>
      </c>
      <c r="F44" s="357">
        <f>ROUND(E44*$H$13,2)</f>
        <v>3047.92</v>
      </c>
      <c r="G44" s="357">
        <f t="shared" si="7"/>
        <v>12426.13</v>
      </c>
      <c r="H44" s="357">
        <f>ROUND(G44/14,2)</f>
        <v>887.58</v>
      </c>
      <c r="I44" s="357">
        <f t="shared" ref="I44:I46" si="9">G44+H44</f>
        <v>13313.71</v>
      </c>
      <c r="J44" s="358">
        <f>I44/$H$18</f>
        <v>1.7850768401547798E-2</v>
      </c>
      <c r="K44" s="66"/>
      <c r="L44" s="66"/>
      <c r="M44" s="66">
        <f t="shared" si="8"/>
        <v>13313.71</v>
      </c>
      <c r="N44" s="66">
        <f t="shared" si="6"/>
        <v>1.7850768401547798E-2</v>
      </c>
      <c r="O44" s="66"/>
    </row>
    <row r="45" spans="1:15">
      <c r="A45" s="11" t="s">
        <v>213</v>
      </c>
      <c r="B45" s="268">
        <f>B33</f>
        <v>0.01</v>
      </c>
      <c r="D45" s="256"/>
      <c r="E45" s="357">
        <f>ROUND(SUM($E$39:$E$41)*B45,2)</f>
        <v>1488.61</v>
      </c>
      <c r="F45" s="357">
        <f>ROUND(E45*$H$13,2)</f>
        <v>483.8</v>
      </c>
      <c r="G45" s="357">
        <f t="shared" si="7"/>
        <v>1972.4099999999999</v>
      </c>
      <c r="H45" s="357">
        <f>ROUND(G45/14,2)</f>
        <v>140.88999999999999</v>
      </c>
      <c r="I45" s="357">
        <f t="shared" si="9"/>
        <v>2113.2999999999997</v>
      </c>
      <c r="J45" s="358">
        <f>I45/$H$18</f>
        <v>2.8334723276224999E-3</v>
      </c>
      <c r="K45" s="66"/>
      <c r="L45" s="66"/>
      <c r="M45" s="66">
        <f t="shared" si="8"/>
        <v>2113.2999999999997</v>
      </c>
      <c r="N45" s="66">
        <f t="shared" si="6"/>
        <v>2.8334723276224999E-3</v>
      </c>
      <c r="O45" s="66"/>
    </row>
    <row r="46" spans="1:15">
      <c r="A46" s="11" t="s">
        <v>214</v>
      </c>
      <c r="B46" s="268">
        <f>B34</f>
        <v>0.01</v>
      </c>
      <c r="D46" s="256"/>
      <c r="E46" s="357">
        <f>ROUND(SUM($E$39:$E$41)*B46,2)</f>
        <v>1488.61</v>
      </c>
      <c r="F46" s="357">
        <f>ROUND(E46*$H$13,2)</f>
        <v>483.8</v>
      </c>
      <c r="G46" s="357">
        <f t="shared" si="7"/>
        <v>1972.4099999999999</v>
      </c>
      <c r="H46" s="357">
        <f>ROUND(G46/14,2)</f>
        <v>140.88999999999999</v>
      </c>
      <c r="I46" s="357">
        <f t="shared" si="9"/>
        <v>2113.2999999999997</v>
      </c>
      <c r="J46" s="358">
        <f>I46/$H$18</f>
        <v>2.8334723276224999E-3</v>
      </c>
      <c r="K46" s="66"/>
      <c r="L46" s="66"/>
      <c r="M46" s="66">
        <f t="shared" si="8"/>
        <v>2113.2999999999997</v>
      </c>
      <c r="N46" s="66">
        <f t="shared" si="6"/>
        <v>2.8334723276224999E-3</v>
      </c>
      <c r="O46" s="66"/>
    </row>
    <row r="47" spans="1:15">
      <c r="D47" s="256"/>
      <c r="E47" s="357"/>
      <c r="F47" s="357"/>
      <c r="G47" s="357"/>
      <c r="H47" s="357"/>
      <c r="I47" s="357"/>
      <c r="J47" s="357"/>
    </row>
    <row r="48" spans="1:15">
      <c r="A48" s="359" t="s">
        <v>76</v>
      </c>
      <c r="B48" s="383"/>
      <c r="C48" s="383"/>
      <c r="D48" s="350">
        <f>SUM(D39:D46)</f>
        <v>8</v>
      </c>
      <c r="E48" s="360">
        <f>SUM(E39:E41)+SUM(E43:E46)</f>
        <v>161215.95000000001</v>
      </c>
      <c r="F48" s="360">
        <f>SUM(F39:F41)+SUM(F43:F46)</f>
        <v>52395.180000000008</v>
      </c>
      <c r="G48" s="360">
        <f t="shared" ref="G48:H48" si="10">SUM(G39:G41)+SUM(G43:G46)</f>
        <v>213611.13</v>
      </c>
      <c r="H48" s="360">
        <f t="shared" si="10"/>
        <v>15257.940000000002</v>
      </c>
      <c r="I48" s="361">
        <f>SUM(I39:I41)+SUM(I43:I46)</f>
        <v>228869.07</v>
      </c>
      <c r="J48" s="361">
        <f>I48/$H$18</f>
        <v>0.30686328325069656</v>
      </c>
      <c r="K48" s="362"/>
      <c r="L48" s="363">
        <f>J48/$J$100</f>
        <v>4.9331912749156527E-2</v>
      </c>
      <c r="M48" s="364">
        <f>SUM(M39:M41)+SUM(M43:M46)</f>
        <v>228869.07</v>
      </c>
      <c r="N48" s="66">
        <f t="shared" ref="N48" si="11">M48/$H$18</f>
        <v>0.30686328325069656</v>
      </c>
      <c r="O48" s="362"/>
    </row>
    <row r="49" spans="1:23" ht="15" thickBot="1">
      <c r="D49" s="256"/>
      <c r="E49" s="357"/>
      <c r="F49" s="357"/>
      <c r="G49" s="357"/>
      <c r="H49" s="357"/>
      <c r="I49" s="357"/>
      <c r="J49" s="357"/>
    </row>
    <row r="50" spans="1:23" s="349" customFormat="1" ht="15" thickBot="1">
      <c r="A50" s="384" t="s">
        <v>82</v>
      </c>
      <c r="B50" s="385"/>
      <c r="C50" s="385"/>
      <c r="D50" s="386">
        <f>D36+D48</f>
        <v>40</v>
      </c>
      <c r="E50" s="387">
        <f>E36+E48</f>
        <v>845513.81</v>
      </c>
      <c r="F50" s="387">
        <f t="shared" ref="F50:H50" si="12">F36+F48</f>
        <v>274791.99000000005</v>
      </c>
      <c r="G50" s="387">
        <f t="shared" si="12"/>
        <v>1120305.8</v>
      </c>
      <c r="H50" s="387">
        <f t="shared" si="12"/>
        <v>80021.84</v>
      </c>
      <c r="I50" s="388">
        <f>I36+I48</f>
        <v>1200327.6399999999</v>
      </c>
      <c r="J50" s="361">
        <f>I50/$H$18</f>
        <v>1.6093764027920421</v>
      </c>
      <c r="K50" s="362"/>
      <c r="L50" s="363">
        <f>J50/$J$100</f>
        <v>0.25872634693224805</v>
      </c>
      <c r="M50" s="389">
        <f>M36+M48</f>
        <v>1200327.6399999999</v>
      </c>
      <c r="N50" s="66">
        <f t="shared" ref="N50" si="13">M50/$H$18</f>
        <v>1.6093764027920421</v>
      </c>
      <c r="O50" s="362"/>
    </row>
    <row r="52" spans="1:23">
      <c r="D52" s="11" t="s">
        <v>91</v>
      </c>
    </row>
    <row r="53" spans="1:23">
      <c r="C53" s="11" t="s">
        <v>90</v>
      </c>
      <c r="D53" s="11" t="s">
        <v>103</v>
      </c>
      <c r="G53" s="390"/>
      <c r="I53" s="11" t="s">
        <v>50</v>
      </c>
      <c r="T53" s="169"/>
    </row>
    <row r="54" spans="1:23">
      <c r="A54" s="11" t="s">
        <v>89</v>
      </c>
    </row>
    <row r="55" spans="1:23">
      <c r="A55" s="11" t="s">
        <v>218</v>
      </c>
      <c r="C55" s="391">
        <f>'Estimacio increment IPC'!W7</f>
        <v>3.36</v>
      </c>
      <c r="D55" s="392">
        <f>H18</f>
        <v>745834</v>
      </c>
      <c r="I55" s="21">
        <f>C55*D55</f>
        <v>2506002.2399999998</v>
      </c>
      <c r="J55" s="65">
        <f>I55/$H$18</f>
        <v>3.36</v>
      </c>
      <c r="K55" s="21"/>
      <c r="L55" s="21"/>
      <c r="M55" s="66">
        <f t="shared" ref="M55:M58" si="14">I55</f>
        <v>2506002.2399999998</v>
      </c>
      <c r="N55" s="66">
        <f t="shared" ref="N55:N60" si="15">M55/$H$18</f>
        <v>3.36</v>
      </c>
      <c r="O55" s="21"/>
      <c r="W55" s="169"/>
    </row>
    <row r="56" spans="1:23" s="96" customFormat="1">
      <c r="A56" s="96" t="s">
        <v>219</v>
      </c>
      <c r="B56" s="393">
        <v>0.65</v>
      </c>
      <c r="C56" s="394">
        <f>C55*B56</f>
        <v>2.1840000000000002</v>
      </c>
      <c r="D56" s="116">
        <f>D55*B56</f>
        <v>484792.10000000003</v>
      </c>
      <c r="I56" s="395">
        <f>D56*C55</f>
        <v>1628901.456</v>
      </c>
      <c r="J56" s="396">
        <f t="shared" ref="J56:J57" si="16">I56/$H$18</f>
        <v>2.1840000000000002</v>
      </c>
      <c r="K56" s="395"/>
      <c r="L56" s="395"/>
      <c r="M56" s="167"/>
      <c r="N56" s="167"/>
      <c r="O56" s="395"/>
      <c r="W56" s="397"/>
    </row>
    <row r="57" spans="1:23" s="96" customFormat="1">
      <c r="A57" s="96" t="s">
        <v>220</v>
      </c>
      <c r="B57" s="393">
        <v>0.35</v>
      </c>
      <c r="C57" s="394">
        <f>C55*B57</f>
        <v>1.1759999999999999</v>
      </c>
      <c r="D57" s="116">
        <f>D55*B57</f>
        <v>261041.9</v>
      </c>
      <c r="I57" s="395">
        <f>D57*C55</f>
        <v>877100.78399999999</v>
      </c>
      <c r="J57" s="396">
        <f t="shared" si="16"/>
        <v>1.1759999999999999</v>
      </c>
      <c r="K57" s="395"/>
      <c r="L57" s="395"/>
      <c r="M57" s="167"/>
      <c r="N57" s="167"/>
      <c r="O57" s="395"/>
      <c r="W57" s="397"/>
    </row>
    <row r="58" spans="1:23">
      <c r="A58" s="11" t="s">
        <v>221</v>
      </c>
      <c r="C58" s="398">
        <v>0.11</v>
      </c>
      <c r="D58" s="116">
        <f>(52*37*G18)-2174.8</f>
        <v>3132021.2</v>
      </c>
      <c r="E58" s="11">
        <f>D58/D55</f>
        <v>4.1993542799067889</v>
      </c>
      <c r="F58" s="11">
        <v>5.29</v>
      </c>
      <c r="G58" s="68"/>
      <c r="I58" s="21">
        <f>C58*D58</f>
        <v>344522.33199999999</v>
      </c>
      <c r="J58" s="65">
        <f>I58/$H$18</f>
        <v>0.46192897078974676</v>
      </c>
      <c r="K58" s="21"/>
      <c r="L58" s="21"/>
      <c r="M58" s="66">
        <f t="shared" si="14"/>
        <v>344522.33199999999</v>
      </c>
      <c r="N58" s="66">
        <f t="shared" si="15"/>
        <v>0.46192897078974676</v>
      </c>
      <c r="O58" s="21"/>
      <c r="Q58" s="11" t="s">
        <v>170</v>
      </c>
    </row>
    <row r="59" spans="1:23">
      <c r="A59" s="11" t="s">
        <v>92</v>
      </c>
      <c r="P59" s="11">
        <v>0.19</v>
      </c>
      <c r="Q59" s="11" t="s">
        <v>171</v>
      </c>
    </row>
    <row r="60" spans="1:23">
      <c r="A60" s="399" t="s">
        <v>93</v>
      </c>
      <c r="B60" s="400"/>
      <c r="C60" s="400"/>
      <c r="D60" s="400"/>
      <c r="E60" s="400"/>
      <c r="F60" s="400"/>
      <c r="G60" s="400"/>
      <c r="H60" s="400"/>
      <c r="I60" s="401">
        <f>I55+I58</f>
        <v>2850524.5719999997</v>
      </c>
      <c r="J60" s="401">
        <f>I60/$H$18</f>
        <v>3.8219289707897466</v>
      </c>
      <c r="K60" s="402"/>
      <c r="L60" s="363">
        <f>J60/$J$100</f>
        <v>0.61442041720723006</v>
      </c>
      <c r="M60" s="401">
        <f>M55+M58</f>
        <v>2850524.5719999997</v>
      </c>
      <c r="N60" s="66">
        <f t="shared" si="15"/>
        <v>3.8219289707897466</v>
      </c>
      <c r="O60" s="402"/>
    </row>
    <row r="61" spans="1:23">
      <c r="A61" s="403"/>
      <c r="B61" s="403"/>
      <c r="C61" s="403"/>
      <c r="D61" s="403"/>
      <c r="E61" s="403"/>
      <c r="F61" s="403"/>
      <c r="G61" s="403"/>
      <c r="H61" s="403"/>
      <c r="I61" s="404"/>
      <c r="J61" s="404"/>
      <c r="K61" s="404"/>
      <c r="L61" s="404"/>
      <c r="M61" s="404"/>
      <c r="N61" s="404"/>
      <c r="O61" s="404"/>
    </row>
    <row r="62" spans="1:23">
      <c r="C62" s="11" t="s">
        <v>90</v>
      </c>
      <c r="D62" s="11" t="s">
        <v>103</v>
      </c>
      <c r="E62" s="11" t="s">
        <v>131</v>
      </c>
      <c r="F62" s="11" t="s">
        <v>158</v>
      </c>
      <c r="G62" s="11" t="s">
        <v>159</v>
      </c>
      <c r="I62" s="11" t="s">
        <v>104</v>
      </c>
    </row>
    <row r="64" spans="1:23">
      <c r="A64" s="11" t="s">
        <v>111</v>
      </c>
      <c r="C64" s="141">
        <v>25</v>
      </c>
      <c r="D64" s="11">
        <v>52</v>
      </c>
      <c r="I64" s="143">
        <f>C64*D64</f>
        <v>1300</v>
      </c>
      <c r="J64" s="65">
        <f>I64/$H$18</f>
        <v>1.7430152017741214E-3</v>
      </c>
      <c r="K64" s="64"/>
      <c r="L64" s="64"/>
      <c r="M64" s="66">
        <f t="shared" ref="M64" si="17">I64</f>
        <v>1300</v>
      </c>
      <c r="N64" s="66">
        <f t="shared" ref="N64:N84" si="18">M64/$H$18</f>
        <v>1.7430152017741214E-3</v>
      </c>
      <c r="O64" s="64"/>
    </row>
    <row r="65" spans="1:19">
      <c r="A65" s="11" t="s">
        <v>100</v>
      </c>
      <c r="C65" s="141">
        <v>750</v>
      </c>
      <c r="D65" s="11">
        <v>1</v>
      </c>
      <c r="I65" s="143">
        <f>C65</f>
        <v>750</v>
      </c>
      <c r="J65" s="65">
        <f>I65/$H$18</f>
        <v>1.0055856933312238E-3</v>
      </c>
      <c r="K65" s="64"/>
      <c r="L65" s="64"/>
      <c r="M65" s="66">
        <f t="shared" ref="M65:M84" si="19">I65</f>
        <v>750</v>
      </c>
      <c r="N65" s="66">
        <f t="shared" si="18"/>
        <v>1.0055856933312238E-3</v>
      </c>
      <c r="O65" s="64"/>
    </row>
    <row r="66" spans="1:19">
      <c r="A66" s="11" t="s">
        <v>129</v>
      </c>
      <c r="C66" s="141">
        <v>100</v>
      </c>
      <c r="D66" s="11">
        <f>D21+D25</f>
        <v>21</v>
      </c>
      <c r="E66" s="11">
        <v>2</v>
      </c>
      <c r="I66" s="143">
        <f>C66*D66*E66</f>
        <v>4200</v>
      </c>
      <c r="J66" s="65">
        <f>I66/$H$18</f>
        <v>5.6312798826548532E-3</v>
      </c>
      <c r="K66" s="64"/>
      <c r="L66" s="64"/>
      <c r="M66" s="66">
        <f t="shared" si="19"/>
        <v>4200</v>
      </c>
      <c r="N66" s="66">
        <f t="shared" si="18"/>
        <v>5.6312798826548532E-3</v>
      </c>
      <c r="O66" s="64"/>
      <c r="Q66" s="11" t="s">
        <v>132</v>
      </c>
      <c r="R66" s="11" t="s">
        <v>133</v>
      </c>
      <c r="S66" s="11" t="s">
        <v>134</v>
      </c>
    </row>
    <row r="67" spans="1:19">
      <c r="A67" s="11" t="s">
        <v>130</v>
      </c>
      <c r="C67" s="141">
        <v>42</v>
      </c>
      <c r="D67" s="11">
        <f>D39+D40+D41</f>
        <v>8</v>
      </c>
      <c r="E67" s="11">
        <v>2</v>
      </c>
      <c r="I67" s="143">
        <f>C67*D67*E67</f>
        <v>672</v>
      </c>
      <c r="J67" s="65">
        <f>I67/$H$18</f>
        <v>9.0100478122477656E-4</v>
      </c>
      <c r="K67" s="64"/>
      <c r="L67" s="64"/>
      <c r="M67" s="66">
        <f t="shared" si="19"/>
        <v>672</v>
      </c>
      <c r="N67" s="66">
        <f t="shared" si="18"/>
        <v>9.0100478122477656E-4</v>
      </c>
      <c r="O67" s="64"/>
      <c r="Q67" s="11" t="s">
        <v>132</v>
      </c>
      <c r="R67" s="11" t="s">
        <v>133</v>
      </c>
      <c r="S67" s="11" t="s">
        <v>134</v>
      </c>
    </row>
    <row r="68" spans="1:19">
      <c r="A68" s="11" t="s">
        <v>98</v>
      </c>
      <c r="C68" s="141"/>
      <c r="I68" s="143"/>
      <c r="J68" s="64"/>
      <c r="K68" s="64"/>
      <c r="L68" s="64"/>
      <c r="M68" s="66"/>
      <c r="N68" s="66"/>
      <c r="O68" s="64"/>
    </row>
    <row r="69" spans="1:19">
      <c r="A69" s="67" t="s">
        <v>99</v>
      </c>
      <c r="C69" s="141">
        <v>925.7</v>
      </c>
      <c r="D69" s="11">
        <v>10</v>
      </c>
      <c r="E69" s="11">
        <v>12</v>
      </c>
      <c r="I69" s="143">
        <f>C69*D69*E69</f>
        <v>111084</v>
      </c>
      <c r="J69" s="65">
        <f t="shared" ref="J69:J72" si="20">I69/$H$18</f>
        <v>0.14893930821067422</v>
      </c>
      <c r="K69" s="64"/>
      <c r="L69" s="64"/>
      <c r="M69" s="66">
        <f t="shared" si="19"/>
        <v>111084</v>
      </c>
      <c r="N69" s="66">
        <f t="shared" si="18"/>
        <v>0.14893930821067422</v>
      </c>
      <c r="O69" s="64"/>
    </row>
    <row r="70" spans="1:19">
      <c r="A70" s="67" t="s">
        <v>105</v>
      </c>
      <c r="C70" s="141">
        <f>52*20</f>
        <v>1040</v>
      </c>
      <c r="D70" s="11">
        <v>10</v>
      </c>
      <c r="I70" s="143">
        <f t="shared" ref="I70" si="21">C70*D70</f>
        <v>10400</v>
      </c>
      <c r="J70" s="65">
        <f t="shared" si="20"/>
        <v>1.3944121614192971E-2</v>
      </c>
      <c r="K70" s="64"/>
      <c r="L70" s="64"/>
      <c r="M70" s="66">
        <f t="shared" si="19"/>
        <v>10400</v>
      </c>
      <c r="N70" s="66">
        <f t="shared" si="18"/>
        <v>1.3944121614192971E-2</v>
      </c>
      <c r="O70" s="64"/>
    </row>
    <row r="71" spans="1:19">
      <c r="A71" s="67" t="s">
        <v>95</v>
      </c>
      <c r="C71" s="141">
        <f>50*2.1</f>
        <v>105</v>
      </c>
      <c r="D71" s="11">
        <v>10</v>
      </c>
      <c r="E71" s="11">
        <f>365/5</f>
        <v>73</v>
      </c>
      <c r="F71" s="11">
        <f>((20*2)+15)*7*2</f>
        <v>770</v>
      </c>
      <c r="G71" s="11">
        <f>F71*D71*52</f>
        <v>400400</v>
      </c>
      <c r="H71" s="11">
        <f>G71*9.115884116/100*2.1</f>
        <v>76650.000000974411</v>
      </c>
      <c r="I71" s="143">
        <f>C71*D71*E71</f>
        <v>76650</v>
      </c>
      <c r="J71" s="65">
        <f t="shared" si="20"/>
        <v>0.10277085785845108</v>
      </c>
      <c r="K71" s="64"/>
      <c r="L71" s="64"/>
      <c r="M71" s="66">
        <f t="shared" si="19"/>
        <v>76650</v>
      </c>
      <c r="N71" s="66">
        <f t="shared" si="18"/>
        <v>0.10277085785845108</v>
      </c>
      <c r="O71" s="64"/>
    </row>
    <row r="72" spans="1:19">
      <c r="A72" s="67" t="s">
        <v>154</v>
      </c>
      <c r="C72" s="141">
        <v>0.19</v>
      </c>
      <c r="D72" s="11">
        <v>52</v>
      </c>
      <c r="F72" s="11">
        <f>((20*2)+15)*5</f>
        <v>275</v>
      </c>
      <c r="I72" s="143">
        <f>C72*D72*F72</f>
        <v>2717</v>
      </c>
      <c r="J72" s="65">
        <f t="shared" si="20"/>
        <v>3.6429017717079138E-3</v>
      </c>
      <c r="K72" s="64"/>
      <c r="L72" s="64"/>
      <c r="M72" s="66">
        <f t="shared" si="19"/>
        <v>2717</v>
      </c>
      <c r="N72" s="66">
        <f t="shared" si="18"/>
        <v>3.6429017717079138E-3</v>
      </c>
      <c r="O72" s="64"/>
      <c r="Q72" s="11" t="s">
        <v>109</v>
      </c>
    </row>
    <row r="73" spans="1:19">
      <c r="A73" s="94" t="s">
        <v>96</v>
      </c>
      <c r="B73" s="95"/>
      <c r="C73" s="140">
        <f>49/4</f>
        <v>12.25</v>
      </c>
      <c r="D73" s="96">
        <v>125</v>
      </c>
      <c r="I73" s="143">
        <f>C73*D73</f>
        <v>1531.25</v>
      </c>
      <c r="J73" s="65">
        <f>I73/$H$18</f>
        <v>2.0530707905512488E-3</v>
      </c>
      <c r="K73" s="66"/>
      <c r="L73" s="66"/>
      <c r="M73" s="66">
        <f>I73</f>
        <v>1531.25</v>
      </c>
      <c r="N73" s="66">
        <f>M73/$H$18</f>
        <v>2.0530707905512488E-3</v>
      </c>
      <c r="O73" s="66"/>
      <c r="Q73" s="11" t="s">
        <v>108</v>
      </c>
    </row>
    <row r="74" spans="1:19">
      <c r="A74" s="11" t="s">
        <v>139</v>
      </c>
      <c r="C74" s="141">
        <v>0.06</v>
      </c>
      <c r="D74" s="97">
        <f>(G18*12)+G18</f>
        <v>21177</v>
      </c>
      <c r="I74" s="143">
        <f>D74*C74</f>
        <v>1270.6199999999999</v>
      </c>
      <c r="J74" s="65">
        <f>I74/$H$18</f>
        <v>1.7036230582140261E-3</v>
      </c>
      <c r="K74" s="64"/>
      <c r="L74" s="64"/>
      <c r="M74" s="66">
        <f t="shared" si="19"/>
        <v>1270.6199999999999</v>
      </c>
      <c r="N74" s="66">
        <f t="shared" si="18"/>
        <v>1.7036230582140261E-3</v>
      </c>
      <c r="O74" s="64"/>
      <c r="Q74" s="11" t="s">
        <v>138</v>
      </c>
    </row>
    <row r="75" spans="1:19">
      <c r="A75" s="11" t="s">
        <v>140</v>
      </c>
      <c r="C75" s="141">
        <v>0.01</v>
      </c>
      <c r="D75" s="68">
        <f>H18</f>
        <v>745834</v>
      </c>
      <c r="I75" s="143">
        <f>C75*D75</f>
        <v>7458.34</v>
      </c>
      <c r="J75" s="65">
        <f>I75/$H$18</f>
        <v>0.01</v>
      </c>
      <c r="K75" s="64"/>
      <c r="L75" s="64"/>
      <c r="M75" s="66">
        <f t="shared" si="19"/>
        <v>7458.34</v>
      </c>
      <c r="N75" s="66">
        <f t="shared" si="18"/>
        <v>0.01</v>
      </c>
      <c r="O75" s="64"/>
    </row>
    <row r="76" spans="1:19">
      <c r="A76" s="11" t="s">
        <v>106</v>
      </c>
      <c r="C76" s="141">
        <f>0.75</f>
        <v>0.75</v>
      </c>
      <c r="D76" s="11">
        <f>50*E76</f>
        <v>600</v>
      </c>
      <c r="E76" s="11">
        <v>12</v>
      </c>
      <c r="I76" s="143">
        <f>C76*D76*E76</f>
        <v>5400</v>
      </c>
      <c r="J76" s="65">
        <f>I76/$H$18</f>
        <v>7.2402169919848118E-3</v>
      </c>
      <c r="K76" s="64"/>
      <c r="L76" s="64"/>
      <c r="M76" s="66">
        <f t="shared" si="19"/>
        <v>5400</v>
      </c>
      <c r="N76" s="66">
        <f t="shared" si="18"/>
        <v>7.2402169919848118E-3</v>
      </c>
      <c r="O76" s="64"/>
      <c r="Q76" s="11" t="s">
        <v>107</v>
      </c>
    </row>
    <row r="77" spans="1:19">
      <c r="A77" s="11" t="s">
        <v>142</v>
      </c>
      <c r="C77" s="141">
        <f>1875/5</f>
        <v>375</v>
      </c>
      <c r="D77" s="11">
        <v>1</v>
      </c>
      <c r="E77" s="21"/>
      <c r="F77" s="21"/>
      <c r="I77" s="143">
        <f>C77*D77</f>
        <v>375</v>
      </c>
      <c r="J77" s="65">
        <f t="shared" ref="J77:J85" si="22">I77/$H$18</f>
        <v>5.0279284666561192E-4</v>
      </c>
      <c r="K77" s="64"/>
      <c r="L77" s="64"/>
      <c r="M77" s="66">
        <f t="shared" si="19"/>
        <v>375</v>
      </c>
      <c r="N77" s="66">
        <f t="shared" si="18"/>
        <v>5.0279284666561192E-4</v>
      </c>
      <c r="O77" s="64"/>
    </row>
    <row r="78" spans="1:19">
      <c r="A78" s="11" t="s">
        <v>141</v>
      </c>
      <c r="C78" s="141">
        <f>ROUND(3895.05*(1+'Estimacio increment IPC'!G7),2)</f>
        <v>4317.66</v>
      </c>
      <c r="I78" s="143">
        <f>C78</f>
        <v>4317.66</v>
      </c>
      <c r="J78" s="65">
        <f t="shared" si="22"/>
        <v>5.7890361662246556E-3</v>
      </c>
      <c r="K78" s="64"/>
      <c r="L78" s="64"/>
      <c r="M78" s="66">
        <f t="shared" si="19"/>
        <v>4317.66</v>
      </c>
      <c r="N78" s="66">
        <f t="shared" si="18"/>
        <v>5.7890361662246556E-3</v>
      </c>
      <c r="O78" s="64"/>
    </row>
    <row r="79" spans="1:19">
      <c r="A79" s="11" t="s">
        <v>97</v>
      </c>
      <c r="C79" s="141">
        <f>70.94061*13</f>
        <v>922.22793000000013</v>
      </c>
      <c r="E79" s="96">
        <v>12</v>
      </c>
      <c r="I79" s="143">
        <f>C79*E79</f>
        <v>11066.735160000002</v>
      </c>
      <c r="J79" s="65">
        <f t="shared" si="22"/>
        <v>1.4838067398375513E-2</v>
      </c>
      <c r="K79" s="64"/>
      <c r="L79" s="64"/>
      <c r="M79" s="66">
        <f t="shared" si="19"/>
        <v>11066.735160000002</v>
      </c>
      <c r="N79" s="66">
        <f t="shared" si="18"/>
        <v>1.4838067398375513E-2</v>
      </c>
      <c r="O79" s="64"/>
    </row>
    <row r="80" spans="1:19">
      <c r="A80" s="11" t="s">
        <v>229</v>
      </c>
      <c r="C80" s="141">
        <v>25.893599999999999</v>
      </c>
      <c r="D80" s="68">
        <f>G18</f>
        <v>1629</v>
      </c>
      <c r="I80" s="142">
        <f>C80*D80</f>
        <v>42180.674399999996</v>
      </c>
      <c r="J80" s="65">
        <f t="shared" si="22"/>
        <v>5.655504361560347E-2</v>
      </c>
      <c r="K80" s="64"/>
      <c r="L80" s="64"/>
      <c r="M80" s="66">
        <f t="shared" si="19"/>
        <v>42180.674399999996</v>
      </c>
      <c r="N80" s="66">
        <f t="shared" si="18"/>
        <v>5.655504361560347E-2</v>
      </c>
      <c r="O80" s="64"/>
      <c r="Q80" s="11" t="s">
        <v>110</v>
      </c>
    </row>
    <row r="81" spans="1:22">
      <c r="A81" s="11" t="s">
        <v>101</v>
      </c>
      <c r="C81" s="141">
        <f>250/5</f>
        <v>50</v>
      </c>
      <c r="D81" s="11">
        <f>D21+D25</f>
        <v>21</v>
      </c>
      <c r="I81" s="143">
        <f>C81*D81</f>
        <v>1050</v>
      </c>
      <c r="J81" s="65">
        <f t="shared" si="22"/>
        <v>1.4078199706637133E-3</v>
      </c>
      <c r="K81" s="64"/>
      <c r="L81" s="64"/>
      <c r="M81" s="66">
        <f>I81</f>
        <v>1050</v>
      </c>
      <c r="N81" s="66">
        <f t="shared" si="18"/>
        <v>1.4078199706637133E-3</v>
      </c>
      <c r="O81" s="64"/>
    </row>
    <row r="82" spans="1:22">
      <c r="A82" s="11" t="s">
        <v>102</v>
      </c>
      <c r="C82" s="140">
        <v>14.95</v>
      </c>
      <c r="D82" s="11">
        <f>D81</f>
        <v>21</v>
      </c>
      <c r="E82" s="11">
        <v>12</v>
      </c>
      <c r="I82" s="143">
        <f>C82*E82*D82</f>
        <v>3767.3999999999996</v>
      </c>
      <c r="J82" s="65">
        <f t="shared" si="22"/>
        <v>5.0512580547414027E-3</v>
      </c>
      <c r="K82" s="64"/>
      <c r="L82" s="64"/>
      <c r="M82" s="66">
        <f t="shared" si="19"/>
        <v>3767.3999999999996</v>
      </c>
      <c r="N82" s="66">
        <f t="shared" si="18"/>
        <v>5.0512580547414027E-3</v>
      </c>
      <c r="O82" s="64"/>
      <c r="Q82" s="11" t="s">
        <v>169</v>
      </c>
    </row>
    <row r="83" spans="1:22">
      <c r="A83" s="11" t="s">
        <v>258</v>
      </c>
      <c r="C83" s="21"/>
      <c r="H83" s="66"/>
      <c r="I83" s="245">
        <v>3980.57</v>
      </c>
      <c r="J83" s="65">
        <f t="shared" si="22"/>
        <v>5.3370723244046264E-3</v>
      </c>
      <c r="K83" s="64"/>
      <c r="L83" s="64"/>
      <c r="M83" s="66"/>
      <c r="N83" s="66"/>
      <c r="O83" s="64"/>
    </row>
    <row r="84" spans="1:22">
      <c r="A84" s="11" t="s">
        <v>259</v>
      </c>
      <c r="C84" s="21"/>
      <c r="I84" s="245">
        <v>20000</v>
      </c>
      <c r="J84" s="65">
        <f t="shared" si="22"/>
        <v>2.6815618488832637E-2</v>
      </c>
      <c r="K84" s="64"/>
      <c r="L84" s="64"/>
      <c r="M84" s="66">
        <f t="shared" si="19"/>
        <v>20000</v>
      </c>
      <c r="N84" s="66">
        <f t="shared" si="18"/>
        <v>2.6815618488832637E-2</v>
      </c>
      <c r="O84" s="64"/>
    </row>
    <row r="85" spans="1:22">
      <c r="A85" s="11" t="s">
        <v>260</v>
      </c>
      <c r="C85" s="21"/>
      <c r="I85" s="142">
        <v>3389.99</v>
      </c>
      <c r="J85" s="65">
        <f t="shared" si="22"/>
        <v>4.5452339260478869E-3</v>
      </c>
      <c r="K85" s="64"/>
      <c r="L85" s="64"/>
      <c r="M85" s="66"/>
      <c r="N85" s="66"/>
      <c r="O85" s="64"/>
    </row>
    <row r="86" spans="1:22" ht="15" thickBot="1">
      <c r="T86" s="168"/>
      <c r="V86" s="168"/>
    </row>
    <row r="87" spans="1:22" ht="15" thickBot="1">
      <c r="A87" s="405" t="s">
        <v>94</v>
      </c>
      <c r="B87" s="406"/>
      <c r="C87" s="406"/>
      <c r="D87" s="406"/>
      <c r="E87" s="406"/>
      <c r="F87" s="406"/>
      <c r="G87" s="406"/>
      <c r="H87" s="406"/>
      <c r="I87" s="407">
        <f>SUM(I64:I85)</f>
        <v>313561.23956000002</v>
      </c>
      <c r="J87" s="407">
        <f>I87/$H$18</f>
        <v>0.4204169286463208</v>
      </c>
      <c r="K87" s="402"/>
      <c r="L87" s="363">
        <f>J87/$J$100</f>
        <v>6.7587008202948912E-2</v>
      </c>
      <c r="M87" s="407">
        <f>SUM(M64:M84)</f>
        <v>306190.67956000002</v>
      </c>
      <c r="N87" s="407">
        <f>M87/$H$18</f>
        <v>0.4105346223958683</v>
      </c>
      <c r="O87" s="402"/>
    </row>
    <row r="88" spans="1:22" ht="15" thickBot="1"/>
    <row r="89" spans="1:22" ht="15" thickBot="1">
      <c r="A89" s="405" t="s">
        <v>83</v>
      </c>
      <c r="B89" s="406"/>
      <c r="C89" s="406"/>
      <c r="D89" s="406"/>
      <c r="E89" s="406"/>
      <c r="F89" s="406"/>
      <c r="G89" s="406"/>
      <c r="H89" s="406"/>
      <c r="I89" s="407">
        <f>I60+I87</f>
        <v>3164085.8115599998</v>
      </c>
      <c r="J89" s="407">
        <f>I89/$H$18</f>
        <v>4.2423458994360672</v>
      </c>
      <c r="K89" s="402"/>
      <c r="L89" s="363">
        <f>J89/$J$100</f>
        <v>0.68200742541017889</v>
      </c>
      <c r="M89" s="407">
        <f>M60+M87</f>
        <v>3156715.2515599998</v>
      </c>
      <c r="N89" s="407">
        <f>M89/$H$18</f>
        <v>4.2324635931856145</v>
      </c>
      <c r="O89" s="402"/>
    </row>
    <row r="90" spans="1:22" ht="15" thickBot="1"/>
    <row r="91" spans="1:22" ht="15" thickBot="1">
      <c r="A91" s="408" t="s">
        <v>84</v>
      </c>
      <c r="B91" s="409"/>
      <c r="C91" s="409"/>
      <c r="D91" s="409"/>
      <c r="E91" s="409"/>
      <c r="F91" s="409"/>
      <c r="G91" s="409"/>
      <c r="H91" s="409"/>
      <c r="I91" s="410">
        <f>I50+I89</f>
        <v>4364413.45156</v>
      </c>
      <c r="J91" s="410">
        <f>I91/$H$18</f>
        <v>5.8517223022281097</v>
      </c>
      <c r="K91" s="411"/>
      <c r="L91" s="363">
        <f>J91/$J$100</f>
        <v>0.94073377234242705</v>
      </c>
      <c r="M91" s="410">
        <f>M50+M89</f>
        <v>4357042.8915599994</v>
      </c>
      <c r="N91" s="410">
        <f>M91/$H$18</f>
        <v>5.8418399959776561</v>
      </c>
      <c r="O91" s="411"/>
    </row>
    <row r="93" spans="1:22">
      <c r="A93" s="349" t="s">
        <v>157</v>
      </c>
    </row>
    <row r="94" spans="1:22" ht="87">
      <c r="A94" s="412" t="s">
        <v>222</v>
      </c>
      <c r="B94" s="268">
        <v>2.5000000000000001E-2</v>
      </c>
      <c r="I94" s="66">
        <f>I91*B94</f>
        <v>109110.336289</v>
      </c>
      <c r="J94" s="65">
        <f>I94/$H$18</f>
        <v>0.14629305755570274</v>
      </c>
      <c r="K94" s="66"/>
      <c r="L94" s="363">
        <f>J94/$J$100</f>
        <v>2.3518344308560674E-2</v>
      </c>
      <c r="M94" s="66">
        <f>I94</f>
        <v>109110.336289</v>
      </c>
      <c r="N94" s="66">
        <f t="shared" ref="N94:N104" si="23">M94/$H$18</f>
        <v>0.14629305755570274</v>
      </c>
      <c r="O94" s="66"/>
    </row>
    <row r="96" spans="1:22">
      <c r="A96" s="96" t="s">
        <v>223</v>
      </c>
      <c r="B96" s="95">
        <v>3.7999999999999999E-2</v>
      </c>
      <c r="C96" s="96"/>
      <c r="D96" s="96"/>
      <c r="E96" s="96"/>
      <c r="F96" s="96"/>
      <c r="G96" s="96"/>
      <c r="H96" s="96" t="s">
        <v>172</v>
      </c>
      <c r="I96" s="167">
        <f>I91*B96</f>
        <v>165847.71115928001</v>
      </c>
      <c r="J96" s="396">
        <f>I96/$H$18</f>
        <v>0.22236544748466819</v>
      </c>
      <c r="K96" s="66"/>
      <c r="L96" s="363">
        <f>J96/$J$100</f>
        <v>3.574788334901223E-2</v>
      </c>
      <c r="M96" s="66">
        <f>I96</f>
        <v>165847.71115928001</v>
      </c>
      <c r="N96" s="66">
        <f t="shared" si="23"/>
        <v>0.22236544748466819</v>
      </c>
      <c r="O96" s="66"/>
    </row>
    <row r="97" spans="1:15" ht="15" thickBot="1">
      <c r="N97" s="66"/>
    </row>
    <row r="98" spans="1:15" ht="15" thickBot="1">
      <c r="A98" s="413" t="s">
        <v>85</v>
      </c>
      <c r="B98" s="414"/>
      <c r="C98" s="414"/>
      <c r="D98" s="414"/>
      <c r="E98" s="414"/>
      <c r="F98" s="414"/>
      <c r="G98" s="414"/>
      <c r="H98" s="414"/>
      <c r="I98" s="415">
        <f>I94+I96</f>
        <v>274958.04744828003</v>
      </c>
      <c r="J98" s="415">
        <f>I98/$H$18</f>
        <v>0.36865850504037095</v>
      </c>
      <c r="K98" s="65"/>
      <c r="L98" s="363">
        <f>J98/$J$100</f>
        <v>5.9266227657572911E-2</v>
      </c>
      <c r="M98" s="415">
        <f>M94+M96</f>
        <v>274958.04744828003</v>
      </c>
      <c r="N98" s="66">
        <f t="shared" si="23"/>
        <v>0.36865850504037095</v>
      </c>
      <c r="O98" s="65"/>
    </row>
    <row r="99" spans="1:15" ht="15" thickBot="1">
      <c r="N99" s="66"/>
    </row>
    <row r="100" spans="1:15" ht="15" thickBot="1">
      <c r="A100" s="413" t="s">
        <v>86</v>
      </c>
      <c r="B100" s="414"/>
      <c r="C100" s="414"/>
      <c r="D100" s="414"/>
      <c r="E100" s="414"/>
      <c r="F100" s="414"/>
      <c r="G100" s="414"/>
      <c r="H100" s="414"/>
      <c r="I100" s="415">
        <f>I91+I98</f>
        <v>4639371.4990082802</v>
      </c>
      <c r="J100" s="416">
        <f>I100/$H$18</f>
        <v>6.220380807268481</v>
      </c>
      <c r="K100" s="65"/>
      <c r="L100" s="363">
        <f>J100/$J$100</f>
        <v>1</v>
      </c>
      <c r="M100" s="415">
        <f>M91+M98</f>
        <v>4632000.9390082797</v>
      </c>
      <c r="N100" s="66">
        <f t="shared" si="23"/>
        <v>6.2104985010180274</v>
      </c>
      <c r="O100" s="65"/>
    </row>
    <row r="101" spans="1:15">
      <c r="H101" s="417"/>
      <c r="I101" s="66"/>
      <c r="N101" s="66"/>
    </row>
    <row r="102" spans="1:15">
      <c r="A102" s="403" t="s">
        <v>87</v>
      </c>
      <c r="B102" s="418">
        <v>0.1</v>
      </c>
      <c r="C102" s="403"/>
      <c r="D102" s="403"/>
      <c r="E102" s="403"/>
      <c r="F102" s="403"/>
      <c r="G102" s="403"/>
      <c r="H102" s="403"/>
      <c r="I102" s="65">
        <f>I100*B102</f>
        <v>463937.14990082802</v>
      </c>
      <c r="J102" s="65">
        <f>I102/$H$18</f>
        <v>0.62203808072684807</v>
      </c>
      <c r="K102" s="65"/>
      <c r="L102" s="65"/>
      <c r="M102" s="65">
        <f>M100*B102</f>
        <v>463200.09390082798</v>
      </c>
      <c r="N102" s="66">
        <f t="shared" si="23"/>
        <v>0.6210498501018028</v>
      </c>
      <c r="O102" s="65"/>
    </row>
    <row r="103" spans="1:15" ht="15" thickBot="1">
      <c r="N103" s="66"/>
    </row>
    <row r="104" spans="1:15" ht="15" thickBot="1">
      <c r="A104" s="413" t="s">
        <v>88</v>
      </c>
      <c r="B104" s="414"/>
      <c r="C104" s="414"/>
      <c r="D104" s="414"/>
      <c r="E104" s="414"/>
      <c r="F104" s="414"/>
      <c r="G104" s="414"/>
      <c r="H104" s="414"/>
      <c r="I104" s="415">
        <f>I100+I102</f>
        <v>5103308.6489091087</v>
      </c>
      <c r="J104" s="415">
        <f>I104/$H$18</f>
        <v>6.84241888799533</v>
      </c>
      <c r="K104" s="65"/>
      <c r="L104" s="363">
        <f>J104/$J$100</f>
        <v>1.1000000000000001</v>
      </c>
      <c r="M104" s="415">
        <f>M100+M102</f>
        <v>5095201.0329091074</v>
      </c>
      <c r="N104" s="66">
        <f t="shared" si="23"/>
        <v>6.8315483511198298</v>
      </c>
      <c r="O104" s="65"/>
    </row>
    <row r="108" spans="1:15">
      <c r="M108" s="66"/>
    </row>
    <row r="110" spans="1:15">
      <c r="K110" s="66"/>
    </row>
  </sheetData>
  <mergeCells count="12">
    <mergeCell ref="C13:E13"/>
    <mergeCell ref="I5:L5"/>
    <mergeCell ref="I10:N10"/>
    <mergeCell ref="C10:E10"/>
    <mergeCell ref="C11:E11"/>
    <mergeCell ref="C12:E12"/>
    <mergeCell ref="B5:E5"/>
    <mergeCell ref="D6:E6"/>
    <mergeCell ref="D7:E7"/>
    <mergeCell ref="D8:E8"/>
    <mergeCell ref="B9:C9"/>
    <mergeCell ref="D9:E9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W104"/>
  <sheetViews>
    <sheetView topLeftCell="A92" zoomScale="90" zoomScaleNormal="90" workbookViewId="0">
      <selection activeCell="B39" sqref="B39:B41"/>
    </sheetView>
  </sheetViews>
  <sheetFormatPr defaultColWidth="8.7265625" defaultRowHeight="14.5"/>
  <cols>
    <col min="1" max="1" width="45.1796875" style="11" customWidth="1"/>
    <col min="2" max="2" width="9.453125" style="11" bestFit="1" customWidth="1"/>
    <col min="3" max="3" width="15" style="11" bestFit="1" customWidth="1"/>
    <col min="4" max="4" width="15" style="11" customWidth="1"/>
    <col min="5" max="6" width="16.1796875" style="11" bestFit="1" customWidth="1"/>
    <col min="7" max="7" width="17.81640625" style="11" bestFit="1" customWidth="1"/>
    <col min="8" max="8" width="22.7265625" style="11" bestFit="1" customWidth="1"/>
    <col min="9" max="9" width="17.81640625" style="11" bestFit="1" customWidth="1"/>
    <col min="10" max="10" width="13.54296875" style="11" bestFit="1" customWidth="1"/>
    <col min="11" max="11" width="16.26953125" style="11" bestFit="1" customWidth="1"/>
    <col min="12" max="12" width="8.1796875" style="11" bestFit="1" customWidth="1"/>
    <col min="13" max="13" width="16.26953125" style="11" customWidth="1"/>
    <col min="14" max="14" width="17.453125" style="11" bestFit="1" customWidth="1"/>
    <col min="15" max="15" width="14.7265625" style="11" customWidth="1"/>
    <col min="16" max="16" width="7.26953125" style="11" bestFit="1" customWidth="1"/>
    <col min="17" max="17" width="13.81640625" style="11" bestFit="1" customWidth="1"/>
    <col min="18" max="19" width="8.7265625" style="11"/>
    <col min="20" max="21" width="9.54296875" style="11" bestFit="1" customWidth="1"/>
    <col min="22" max="22" width="8.7265625" style="11"/>
    <col min="23" max="23" width="9.54296875" style="11" bestFit="1" customWidth="1"/>
    <col min="24" max="16384" width="8.7265625" style="11"/>
  </cols>
  <sheetData>
    <row r="1" spans="1:14" ht="21">
      <c r="A1" s="366" t="s">
        <v>200</v>
      </c>
      <c r="B1" s="366"/>
      <c r="C1" s="366"/>
      <c r="D1" s="366"/>
      <c r="E1" s="367"/>
      <c r="F1" s="367"/>
      <c r="G1" s="366"/>
      <c r="H1" s="366"/>
    </row>
    <row r="2" spans="1:14">
      <c r="A2" s="100">
        <v>2023</v>
      </c>
      <c r="B2" s="100"/>
      <c r="C2" s="100"/>
      <c r="D2" s="100"/>
      <c r="E2" s="101"/>
      <c r="F2" s="101"/>
      <c r="G2" s="100"/>
      <c r="H2" s="100"/>
    </row>
    <row r="3" spans="1:14">
      <c r="A3" s="368" t="s">
        <v>173</v>
      </c>
      <c r="B3" s="100"/>
      <c r="C3" s="100"/>
      <c r="D3" s="100"/>
      <c r="E3" s="101"/>
      <c r="F3" s="101"/>
      <c r="G3" s="100"/>
      <c r="H3" s="100"/>
    </row>
    <row r="4" spans="1:14">
      <c r="A4" s="100"/>
      <c r="B4" s="100"/>
      <c r="C4" s="100"/>
      <c r="D4" s="100"/>
      <c r="E4" s="101"/>
      <c r="F4" s="101"/>
      <c r="G4" s="100"/>
      <c r="H4" s="100"/>
    </row>
    <row r="5" spans="1:14" ht="41.5">
      <c r="A5" s="102" t="s">
        <v>174</v>
      </c>
      <c r="B5" s="540" t="s">
        <v>201</v>
      </c>
      <c r="C5" s="540"/>
      <c r="D5" s="540"/>
      <c r="E5" s="540"/>
      <c r="F5" s="103"/>
      <c r="G5" s="107" t="s">
        <v>186</v>
      </c>
      <c r="H5" s="419" t="s">
        <v>202</v>
      </c>
      <c r="I5" s="531" t="s">
        <v>203</v>
      </c>
      <c r="J5" s="532"/>
      <c r="K5" s="532"/>
      <c r="L5" s="533"/>
      <c r="M5" s="100"/>
      <c r="N5" s="100"/>
    </row>
    <row r="6" spans="1:14" ht="16.5">
      <c r="A6" s="102"/>
      <c r="B6" s="370" t="s">
        <v>175</v>
      </c>
      <c r="C6" s="370" t="s">
        <v>176</v>
      </c>
      <c r="D6" s="541" t="s">
        <v>177</v>
      </c>
      <c r="E6" s="542"/>
      <c r="F6" s="103"/>
      <c r="G6" s="102" t="s">
        <v>187</v>
      </c>
      <c r="H6" s="371">
        <f>PROPOSTA2022!H6</f>
        <v>8</v>
      </c>
      <c r="I6" s="372"/>
      <c r="J6" s="108"/>
      <c r="K6" s="108"/>
      <c r="L6" s="108"/>
      <c r="M6" s="108"/>
      <c r="N6" s="108"/>
    </row>
    <row r="7" spans="1:14">
      <c r="A7" s="373" t="s">
        <v>178</v>
      </c>
      <c r="B7" s="374">
        <v>45352</v>
      </c>
      <c r="C7" s="374">
        <v>46081</v>
      </c>
      <c r="D7" s="541">
        <v>2</v>
      </c>
      <c r="E7" s="542"/>
      <c r="F7" s="103"/>
      <c r="G7" s="102" t="s">
        <v>188</v>
      </c>
      <c r="H7" s="371">
        <f>PROPOSTA2022!H7</f>
        <v>40</v>
      </c>
      <c r="I7" s="104" t="s">
        <v>189</v>
      </c>
      <c r="J7" s="104" t="s">
        <v>190</v>
      </c>
      <c r="K7" s="104" t="s">
        <v>191</v>
      </c>
      <c r="L7" s="104" t="s">
        <v>192</v>
      </c>
      <c r="M7" s="104" t="s">
        <v>193</v>
      </c>
      <c r="N7" s="104" t="s">
        <v>194</v>
      </c>
    </row>
    <row r="8" spans="1:14">
      <c r="A8" s="373" t="s">
        <v>179</v>
      </c>
      <c r="B8" s="374">
        <v>46082</v>
      </c>
      <c r="C8" s="374">
        <v>46812</v>
      </c>
      <c r="D8" s="541">
        <v>2</v>
      </c>
      <c r="E8" s="542"/>
      <c r="F8" s="103"/>
      <c r="G8" s="102" t="s">
        <v>195</v>
      </c>
      <c r="H8" s="371" t="e">
        <f>N8</f>
        <v>#REF!</v>
      </c>
      <c r="I8" s="371" t="e">
        <f>#REF!</f>
        <v>#REF!</v>
      </c>
      <c r="J8" s="371" t="e">
        <f>#REF!</f>
        <v>#REF!</v>
      </c>
      <c r="K8" s="371" t="e">
        <f>#REF!</f>
        <v>#REF!</v>
      </c>
      <c r="L8" s="371" t="e">
        <f>#REF!</f>
        <v>#REF!</v>
      </c>
      <c r="M8" s="377" t="e">
        <f>#REF!</f>
        <v>#REF!</v>
      </c>
      <c r="N8" s="371" t="e">
        <f>I8-J8-K8-L8-M8</f>
        <v>#REF!</v>
      </c>
    </row>
    <row r="9" spans="1:14">
      <c r="A9" s="373" t="s">
        <v>50</v>
      </c>
      <c r="B9" s="543"/>
      <c r="C9" s="544"/>
      <c r="D9" s="541">
        <f>SUM(D7:D8)</f>
        <v>4</v>
      </c>
      <c r="E9" s="542"/>
      <c r="F9" s="103"/>
      <c r="G9" s="102" t="s">
        <v>196</v>
      </c>
      <c r="H9" s="371" t="e">
        <f>H6*H8</f>
        <v>#REF!</v>
      </c>
      <c r="I9" s="356"/>
      <c r="J9" s="100"/>
      <c r="K9" s="101"/>
      <c r="L9" s="101"/>
      <c r="M9" s="100"/>
      <c r="N9" s="100"/>
    </row>
    <row r="10" spans="1:14">
      <c r="A10" s="379" t="s">
        <v>180</v>
      </c>
      <c r="B10" s="380">
        <f>PROPOSTA2022!B10</f>
        <v>1</v>
      </c>
      <c r="C10" s="536"/>
      <c r="D10" s="536"/>
      <c r="E10" s="536"/>
      <c r="F10" s="103"/>
      <c r="G10" s="102" t="s">
        <v>197</v>
      </c>
      <c r="H10" s="371">
        <f>PROPOSTA2022!H10</f>
        <v>1791</v>
      </c>
      <c r="I10" s="534"/>
      <c r="J10" s="535"/>
      <c r="K10" s="535"/>
      <c r="L10" s="535"/>
      <c r="M10" s="535"/>
      <c r="N10" s="535"/>
    </row>
    <row r="11" spans="1:14" ht="15.5">
      <c r="A11" s="373" t="s">
        <v>181</v>
      </c>
      <c r="B11" s="381" t="str">
        <f>PROPOSTA2022!B11</f>
        <v>LOT 1</v>
      </c>
      <c r="C11" s="537" t="str">
        <f>PROPOSTA2022!C11</f>
        <v>SERVEI D'ÀPATS A DOMICILI</v>
      </c>
      <c r="D11" s="538"/>
      <c r="E11" s="539"/>
      <c r="F11" s="103"/>
      <c r="G11" s="356"/>
      <c r="H11" s="356"/>
      <c r="I11" s="356"/>
      <c r="J11" s="356"/>
      <c r="K11" s="356"/>
      <c r="L11" s="356"/>
      <c r="M11" s="356"/>
      <c r="N11" s="356"/>
    </row>
    <row r="12" spans="1:14" ht="15" thickBot="1">
      <c r="A12" s="102" t="s">
        <v>183</v>
      </c>
      <c r="B12" s="380">
        <f>PROPOSTA2022!B12</f>
        <v>7</v>
      </c>
      <c r="C12" s="530" t="str">
        <f>PROPOSTA2022!C12</f>
        <v>De dilluns a diumenge</v>
      </c>
      <c r="D12" s="530"/>
      <c r="E12" s="530"/>
      <c r="F12" s="103"/>
      <c r="G12" s="105" t="s">
        <v>198</v>
      </c>
      <c r="H12" s="109"/>
      <c r="I12" s="356"/>
      <c r="J12" s="356"/>
      <c r="K12" s="356"/>
      <c r="L12" s="356"/>
      <c r="M12" s="110"/>
      <c r="N12" s="356"/>
    </row>
    <row r="13" spans="1:14" ht="15" thickBot="1">
      <c r="A13" s="102" t="s">
        <v>185</v>
      </c>
      <c r="B13" s="380">
        <f>PROPOSTA2022!B13</f>
        <v>365</v>
      </c>
      <c r="C13" s="530" t="str">
        <f>PROPOSTA2022!C13</f>
        <v>De dilluns a diumenge</v>
      </c>
      <c r="D13" s="530"/>
      <c r="E13" s="530"/>
      <c r="F13" s="103"/>
      <c r="G13" s="111" t="s">
        <v>199</v>
      </c>
      <c r="H13" s="112">
        <f>'Original subrogació 2022'!I1</f>
        <v>0.32500000000000001</v>
      </c>
      <c r="I13" s="356"/>
      <c r="J13" s="100"/>
      <c r="K13" s="101"/>
      <c r="L13" s="101"/>
      <c r="M13" s="100"/>
      <c r="N13" s="100"/>
    </row>
    <row r="14" spans="1:14">
      <c r="A14" s="105"/>
      <c r="B14" s="356"/>
      <c r="C14" s="356"/>
      <c r="D14" s="106"/>
      <c r="E14" s="106"/>
      <c r="F14" s="106"/>
      <c r="G14" s="100"/>
      <c r="H14" s="100"/>
    </row>
    <row r="15" spans="1:14">
      <c r="M15" s="349" t="s">
        <v>145</v>
      </c>
      <c r="N15" s="349"/>
    </row>
    <row r="16" spans="1:14">
      <c r="G16" s="11" t="s">
        <v>155</v>
      </c>
      <c r="H16" s="11" t="s">
        <v>146</v>
      </c>
      <c r="I16" s="349" t="s">
        <v>148</v>
      </c>
      <c r="J16" s="349" t="s">
        <v>150</v>
      </c>
      <c r="K16" s="349" t="s">
        <v>143</v>
      </c>
      <c r="L16" s="349"/>
      <c r="M16" s="349" t="s">
        <v>151</v>
      </c>
      <c r="N16" s="349" t="s">
        <v>153</v>
      </c>
    </row>
    <row r="17" spans="1:17">
      <c r="G17" s="11" t="s">
        <v>156</v>
      </c>
      <c r="H17" s="11" t="s">
        <v>147</v>
      </c>
      <c r="I17" s="349" t="s">
        <v>149</v>
      </c>
      <c r="J17" s="349" t="s">
        <v>149</v>
      </c>
      <c r="K17" s="349" t="s">
        <v>144</v>
      </c>
      <c r="L17" s="349" t="s">
        <v>72</v>
      </c>
      <c r="M17" s="349" t="s">
        <v>152</v>
      </c>
      <c r="N17" s="349" t="s">
        <v>152</v>
      </c>
    </row>
    <row r="18" spans="1:17">
      <c r="G18" s="116">
        <f>'Estimacions apats i usuaris'!I34</f>
        <v>1293</v>
      </c>
      <c r="H18" s="116">
        <f>'Estimacions apats i usuaris'!I32</f>
        <v>546797</v>
      </c>
    </row>
    <row r="19" spans="1:17" ht="29">
      <c r="B19" s="11" t="s">
        <v>112</v>
      </c>
      <c r="C19" s="11" t="s">
        <v>78</v>
      </c>
      <c r="D19" s="412" t="s">
        <v>79</v>
      </c>
      <c r="E19" s="11" t="s">
        <v>80</v>
      </c>
      <c r="F19" s="11" t="s">
        <v>63</v>
      </c>
      <c r="G19" s="11" t="s">
        <v>66</v>
      </c>
      <c r="H19" s="11" t="s">
        <v>81</v>
      </c>
      <c r="I19" s="11" t="s">
        <v>50</v>
      </c>
    </row>
    <row r="20" spans="1:17">
      <c r="A20" s="349" t="s">
        <v>73</v>
      </c>
    </row>
    <row r="21" spans="1:17">
      <c r="A21" s="11" t="s">
        <v>204</v>
      </c>
      <c r="B21" s="268">
        <f>'Despeses Personal 2023'!AA8</f>
        <v>1</v>
      </c>
      <c r="C21" s="347" t="e">
        <f>$H$9*D21</f>
        <v>#REF!</v>
      </c>
      <c r="D21" s="256">
        <f>'Despeses Personal 2023'!B8</f>
        <v>16</v>
      </c>
      <c r="E21" s="420">
        <f>ROUND('Despeses Personal 2023'!D8,2)</f>
        <v>348754.78</v>
      </c>
      <c r="F21" s="420">
        <f>ROUND(E21*$H$13,2)</f>
        <v>113345.3</v>
      </c>
      <c r="G21" s="420">
        <f>E21+F21</f>
        <v>462100.08</v>
      </c>
      <c r="H21" s="420">
        <f>ROUND(G21/14,2)</f>
        <v>33007.15</v>
      </c>
      <c r="I21" s="420">
        <f>G21+H21</f>
        <v>495107.23000000004</v>
      </c>
      <c r="J21" s="358">
        <f>I21/$H$18</f>
        <v>0.90546808047593541</v>
      </c>
      <c r="K21" s="66"/>
      <c r="L21" s="66"/>
      <c r="M21" s="66">
        <f>I21</f>
        <v>495107.23000000004</v>
      </c>
      <c r="N21" s="66">
        <f>M21/$H$18</f>
        <v>0.90546808047593541</v>
      </c>
      <c r="O21" s="66"/>
    </row>
    <row r="22" spans="1:17">
      <c r="A22" s="11" t="s">
        <v>205</v>
      </c>
      <c r="B22" s="268">
        <f>'Despeses Personal 2023'!AA5</f>
        <v>0.91666666666666674</v>
      </c>
      <c r="C22" s="347" t="e">
        <f>$H$9*D22</f>
        <v>#REF!</v>
      </c>
      <c r="D22" s="256">
        <f>'Despeses Personal 2023'!B5</f>
        <v>6</v>
      </c>
      <c r="E22" s="420">
        <f>ROUND('Despeses Personal 2023'!D5,2)</f>
        <v>109354.68</v>
      </c>
      <c r="F22" s="420">
        <f>ROUND(E22*$H$13,2)</f>
        <v>35540.269999999997</v>
      </c>
      <c r="G22" s="420">
        <f>E22+F22</f>
        <v>144894.94999999998</v>
      </c>
      <c r="H22" s="420">
        <f>ROUND(G22/14,2)</f>
        <v>10349.64</v>
      </c>
      <c r="I22" s="420">
        <f>G22+H22</f>
        <v>155244.58999999997</v>
      </c>
      <c r="J22" s="358">
        <f t="shared" ref="J22:J40" si="0">I22/$H$18</f>
        <v>0.28391631629288377</v>
      </c>
      <c r="K22" s="66"/>
      <c r="L22" s="66"/>
      <c r="M22" s="66">
        <f t="shared" ref="M22:M33" si="1">I22</f>
        <v>155244.58999999997</v>
      </c>
      <c r="N22" s="66">
        <f t="shared" ref="N22:N36" si="2">M22/$H$18</f>
        <v>0.28391631629288377</v>
      </c>
      <c r="O22" s="66"/>
    </row>
    <row r="23" spans="1:17">
      <c r="C23" s="347"/>
      <c r="D23" s="256"/>
      <c r="E23" s="420"/>
      <c r="F23" s="420"/>
      <c r="G23" s="420"/>
      <c r="H23" s="420"/>
      <c r="I23" s="420"/>
      <c r="J23" s="358"/>
      <c r="K23" s="66"/>
      <c r="L23" s="66"/>
      <c r="M23" s="66"/>
      <c r="N23" s="66"/>
      <c r="O23" s="66"/>
    </row>
    <row r="24" spans="1:17">
      <c r="A24" s="349" t="s">
        <v>74</v>
      </c>
      <c r="C24" s="347"/>
      <c r="D24" s="256"/>
      <c r="E24" s="420"/>
      <c r="F24" s="420"/>
      <c r="G24" s="420"/>
      <c r="H24" s="420"/>
      <c r="I24" s="420"/>
      <c r="J24" s="358"/>
      <c r="M24" s="66"/>
      <c r="N24" s="66"/>
    </row>
    <row r="25" spans="1:17">
      <c r="A25" s="11" t="s">
        <v>206</v>
      </c>
      <c r="B25" s="268">
        <f>'Despeses Personal 2023'!AA10</f>
        <v>1</v>
      </c>
      <c r="C25" s="347" t="e">
        <f>$H$9*D25</f>
        <v>#REF!</v>
      </c>
      <c r="D25" s="256">
        <f>'Despeses Personal 2023'!B10</f>
        <v>1</v>
      </c>
      <c r="E25" s="420">
        <f>ROUND('Despeses Personal 2023'!D10,2)</f>
        <v>23786.6</v>
      </c>
      <c r="F25" s="420">
        <f>ROUND(E25*$H$13,2)</f>
        <v>7730.65</v>
      </c>
      <c r="G25" s="420">
        <f>E25+F25</f>
        <v>31517.25</v>
      </c>
      <c r="H25" s="420">
        <f>ROUND(G25/14,2)</f>
        <v>2251.23</v>
      </c>
      <c r="I25" s="420">
        <f>G25+H25</f>
        <v>33768.480000000003</v>
      </c>
      <c r="J25" s="358">
        <f t="shared" si="0"/>
        <v>6.1756886010713302E-2</v>
      </c>
      <c r="K25" s="66"/>
      <c r="L25" s="66"/>
      <c r="M25" s="66">
        <f t="shared" si="1"/>
        <v>33768.480000000003</v>
      </c>
      <c r="N25" s="66">
        <f t="shared" si="2"/>
        <v>6.1756886010713302E-2</v>
      </c>
      <c r="O25" s="66"/>
      <c r="Q25" s="357"/>
    </row>
    <row r="26" spans="1:17">
      <c r="A26" s="11" t="s">
        <v>207</v>
      </c>
      <c r="B26" s="268">
        <f>'Despeses Personal 2023'!AA9</f>
        <v>1</v>
      </c>
      <c r="C26" s="347" t="e">
        <f>$H$9*D26</f>
        <v>#REF!</v>
      </c>
      <c r="D26" s="256">
        <f>'Despeses Personal 2023'!B9</f>
        <v>1</v>
      </c>
      <c r="E26" s="420">
        <f>ROUND('Despeses Personal 2023'!D9,2)</f>
        <v>25999.94</v>
      </c>
      <c r="F26" s="420">
        <f>ROUND(E26*$H$13,2)</f>
        <v>8449.98</v>
      </c>
      <c r="G26" s="420">
        <f>E26+F26</f>
        <v>34449.919999999998</v>
      </c>
      <c r="H26" s="420">
        <f>ROUND(G26/14,2)</f>
        <v>2460.71</v>
      </c>
      <c r="I26" s="420">
        <f t="shared" ref="I26:I29" si="3">G26+H26</f>
        <v>36910.629999999997</v>
      </c>
      <c r="J26" s="358">
        <f t="shared" si="0"/>
        <v>6.7503351335138989E-2</v>
      </c>
      <c r="K26" s="66"/>
      <c r="L26" s="66"/>
      <c r="M26" s="66">
        <f t="shared" si="1"/>
        <v>36910.629999999997</v>
      </c>
      <c r="N26" s="66">
        <f t="shared" si="2"/>
        <v>6.7503351335138989E-2</v>
      </c>
      <c r="O26" s="66"/>
      <c r="Q26" s="357"/>
    </row>
    <row r="27" spans="1:17">
      <c r="A27" s="11" t="s">
        <v>208</v>
      </c>
      <c r="B27" s="268">
        <f>'Despeses Personal 2023'!AA3</f>
        <v>1</v>
      </c>
      <c r="C27" s="347" t="e">
        <f>$H$9*D27</f>
        <v>#REF!</v>
      </c>
      <c r="D27" s="256">
        <f>'Despeses Personal 2023'!B3</f>
        <v>1</v>
      </c>
      <c r="E27" s="420">
        <f>ROUND('Despeses Personal 2023'!D3,2)</f>
        <v>22275.72</v>
      </c>
      <c r="F27" s="420">
        <f>ROUND(E27*$H$13,2)</f>
        <v>7239.61</v>
      </c>
      <c r="G27" s="420">
        <f>E27+F27</f>
        <v>29515.33</v>
      </c>
      <c r="H27" s="420">
        <f>ROUND(G27/14,2)</f>
        <v>2108.2399999999998</v>
      </c>
      <c r="I27" s="420">
        <f t="shared" si="3"/>
        <v>31623.57</v>
      </c>
      <c r="J27" s="358">
        <f t="shared" si="0"/>
        <v>5.7834205381521842E-2</v>
      </c>
      <c r="K27" s="66"/>
      <c r="L27" s="66"/>
      <c r="M27" s="66">
        <f t="shared" si="1"/>
        <v>31623.57</v>
      </c>
      <c r="N27" s="66">
        <f t="shared" si="2"/>
        <v>5.7834205381521842E-2</v>
      </c>
      <c r="O27" s="66"/>
      <c r="Q27" s="357"/>
    </row>
    <row r="28" spans="1:17">
      <c r="A28" s="11" t="s">
        <v>209</v>
      </c>
      <c r="B28" s="268">
        <f>'Despeses Personal 2023'!AA4</f>
        <v>1</v>
      </c>
      <c r="C28" s="347" t="e">
        <f>$H$9*D28</f>
        <v>#REF!</v>
      </c>
      <c r="D28" s="256">
        <f>'Despeses Personal 2023'!B4</f>
        <v>2</v>
      </c>
      <c r="E28" s="420">
        <f>ROUND('Despeses Personal 2023'!D4,2)</f>
        <v>39660.839999999997</v>
      </c>
      <c r="F28" s="420">
        <f>ROUND(E28*$H$13,2)</f>
        <v>12889.77</v>
      </c>
      <c r="G28" s="420">
        <f>E28+F28</f>
        <v>52550.61</v>
      </c>
      <c r="H28" s="420">
        <f>ROUND(G28/14,2)</f>
        <v>3753.62</v>
      </c>
      <c r="I28" s="420">
        <f t="shared" si="3"/>
        <v>56304.23</v>
      </c>
      <c r="J28" s="358">
        <f t="shared" si="0"/>
        <v>0.10297099289132897</v>
      </c>
      <c r="K28" s="66"/>
      <c r="L28" s="66"/>
      <c r="M28" s="66">
        <f t="shared" si="1"/>
        <v>56304.23</v>
      </c>
      <c r="N28" s="66">
        <f t="shared" si="2"/>
        <v>0.10297099289132897</v>
      </c>
      <c r="O28" s="66"/>
      <c r="Q28" s="357"/>
    </row>
    <row r="29" spans="1:17">
      <c r="A29" s="11" t="s">
        <v>210</v>
      </c>
      <c r="B29" s="268">
        <f>'Despeses Personal 2023'!AA11</f>
        <v>1</v>
      </c>
      <c r="C29" s="347" t="e">
        <f>$H$9*D29</f>
        <v>#REF!</v>
      </c>
      <c r="D29" s="256">
        <f>'Despeses Personal 2023'!B11</f>
        <v>1</v>
      </c>
      <c r="E29" s="420">
        <f>ROUND('Despeses Personal 2023'!D11,2)</f>
        <v>22275.72</v>
      </c>
      <c r="F29" s="420">
        <f>ROUND(E29*$H$13,2)</f>
        <v>7239.61</v>
      </c>
      <c r="G29" s="420">
        <f>E29+F29</f>
        <v>29515.33</v>
      </c>
      <c r="H29" s="420">
        <f>ROUND(G29/14,2)</f>
        <v>2108.2399999999998</v>
      </c>
      <c r="I29" s="420">
        <f t="shared" si="3"/>
        <v>31623.57</v>
      </c>
      <c r="J29" s="358">
        <f t="shared" si="0"/>
        <v>5.7834205381521842E-2</v>
      </c>
      <c r="K29" s="66"/>
      <c r="L29" s="66"/>
      <c r="M29" s="66">
        <f t="shared" si="1"/>
        <v>31623.57</v>
      </c>
      <c r="N29" s="66">
        <f t="shared" si="2"/>
        <v>5.7834205381521842E-2</v>
      </c>
      <c r="O29" s="66"/>
      <c r="Q29" s="357"/>
    </row>
    <row r="30" spans="1:17">
      <c r="E30" s="420"/>
      <c r="F30" s="420"/>
      <c r="G30" s="420"/>
      <c r="H30" s="420"/>
      <c r="I30" s="420"/>
      <c r="J30" s="358"/>
      <c r="M30" s="66"/>
      <c r="N30" s="66"/>
    </row>
    <row r="31" spans="1:17">
      <c r="A31" s="11" t="s">
        <v>211</v>
      </c>
      <c r="B31" s="268">
        <v>0</v>
      </c>
      <c r="E31" s="357">
        <f>ROUND(($E$21+$E$22+SUM($E$25:$E$29))*B31,2)</f>
        <v>0</v>
      </c>
      <c r="F31" s="420">
        <f>ROUND(E31*$H$13,2)</f>
        <v>0</v>
      </c>
      <c r="G31" s="420">
        <f>E31+F31</f>
        <v>0</v>
      </c>
      <c r="H31" s="420">
        <f>ROUND(G31/14,2)</f>
        <v>0</v>
      </c>
      <c r="I31" s="420">
        <f>G31+H31</f>
        <v>0</v>
      </c>
      <c r="J31" s="358">
        <f>I31/$H$18</f>
        <v>0</v>
      </c>
      <c r="K31" s="66"/>
      <c r="L31" s="66"/>
      <c r="M31" s="66">
        <f t="shared" si="1"/>
        <v>0</v>
      </c>
      <c r="N31" s="66">
        <f t="shared" si="2"/>
        <v>0</v>
      </c>
      <c r="O31" s="66"/>
    </row>
    <row r="32" spans="1:17">
      <c r="A32" s="11" t="s">
        <v>212</v>
      </c>
      <c r="B32" s="268">
        <v>6.3E-2</v>
      </c>
      <c r="E32" s="357">
        <f>ROUND(($E$21+$E$22+SUM($E$25:$E$29))*B32,2)</f>
        <v>37302.82</v>
      </c>
      <c r="F32" s="420">
        <f>ROUND(E32*$H$13,2)</f>
        <v>12123.42</v>
      </c>
      <c r="G32" s="420">
        <f>E32+F32</f>
        <v>49426.239999999998</v>
      </c>
      <c r="H32" s="420">
        <f>ROUND(G32/14,2)</f>
        <v>3530.45</v>
      </c>
      <c r="I32" s="420">
        <f>G32+H32</f>
        <v>52956.689999999995</v>
      </c>
      <c r="J32" s="358">
        <f t="shared" si="0"/>
        <v>9.6848903706494363E-2</v>
      </c>
      <c r="K32" s="66"/>
      <c r="L32" s="66"/>
      <c r="M32" s="66">
        <f t="shared" si="1"/>
        <v>52956.689999999995</v>
      </c>
      <c r="N32" s="66">
        <f t="shared" si="2"/>
        <v>9.6848903706494363E-2</v>
      </c>
      <c r="O32" s="66"/>
    </row>
    <row r="33" spans="1:15">
      <c r="A33" s="11" t="s">
        <v>213</v>
      </c>
      <c r="B33" s="268">
        <v>0.01</v>
      </c>
      <c r="E33" s="357">
        <f>ROUND(($E$21+$E$22+SUM($E$25:$E$29))*B33,2)</f>
        <v>5921.08</v>
      </c>
      <c r="F33" s="420">
        <f>ROUND(E33*$H$13,2)</f>
        <v>1924.35</v>
      </c>
      <c r="G33" s="420">
        <f>E33+F33</f>
        <v>7845.43</v>
      </c>
      <c r="H33" s="420">
        <f>ROUND(G33/14,2)</f>
        <v>560.39</v>
      </c>
      <c r="I33" s="420">
        <f>G33+H33</f>
        <v>8405.82</v>
      </c>
      <c r="J33" s="358">
        <f t="shared" si="0"/>
        <v>1.5372834891193624E-2</v>
      </c>
      <c r="K33" s="66"/>
      <c r="L33" s="66"/>
      <c r="M33" s="66">
        <f t="shared" si="1"/>
        <v>8405.82</v>
      </c>
      <c r="N33" s="66">
        <f t="shared" si="2"/>
        <v>1.5372834891193624E-2</v>
      </c>
      <c r="O33" s="66"/>
    </row>
    <row r="34" spans="1:15">
      <c r="A34" s="11" t="s">
        <v>214</v>
      </c>
      <c r="B34" s="268">
        <v>0.01</v>
      </c>
      <c r="E34" s="357">
        <f>ROUND(($E$21+$E$22+SUM($E$25:$E$29))*B34,2)</f>
        <v>5921.08</v>
      </c>
      <c r="F34" s="420">
        <f>ROUND(E34*$H$13,2)</f>
        <v>1924.35</v>
      </c>
      <c r="G34" s="420">
        <f>E34+F34</f>
        <v>7845.43</v>
      </c>
      <c r="H34" s="420">
        <f>ROUND(G34/14,2)</f>
        <v>560.39</v>
      </c>
      <c r="I34" s="420">
        <f>G34+H34</f>
        <v>8405.82</v>
      </c>
      <c r="J34" s="358">
        <f t="shared" si="0"/>
        <v>1.5372834891193624E-2</v>
      </c>
      <c r="K34" s="66"/>
      <c r="L34" s="66"/>
      <c r="M34" s="66">
        <f>I34</f>
        <v>8405.82</v>
      </c>
      <c r="N34" s="66">
        <f t="shared" si="2"/>
        <v>1.5372834891193624E-2</v>
      </c>
      <c r="O34" s="66"/>
    </row>
    <row r="35" spans="1:15">
      <c r="E35" s="357"/>
      <c r="F35" s="357"/>
      <c r="G35" s="357"/>
      <c r="H35" s="357"/>
      <c r="I35" s="357"/>
      <c r="J35" s="358"/>
      <c r="K35" s="66"/>
      <c r="O35" s="66"/>
    </row>
    <row r="36" spans="1:15" s="349" customFormat="1">
      <c r="A36" s="359" t="s">
        <v>77</v>
      </c>
      <c r="B36" s="348"/>
      <c r="C36" s="348"/>
      <c r="D36" s="350">
        <f>SUM(D21:D34)</f>
        <v>28</v>
      </c>
      <c r="E36" s="360">
        <f>E21+E22+SUM(E25:E29)+SUM(E31:E34)</f>
        <v>641253.26</v>
      </c>
      <c r="F36" s="360">
        <f>F21+F22+SUM(F25:F29)+SUM(F31:F34)</f>
        <v>208407.31</v>
      </c>
      <c r="G36" s="360">
        <f>G21+G22+SUM(G25:G29)+SUM(G31:G34)</f>
        <v>849660.57</v>
      </c>
      <c r="H36" s="360">
        <f>H21+H22+SUM(H25:H29)+SUM(H31:H34)</f>
        <v>60690.06</v>
      </c>
      <c r="I36" s="361">
        <f>I21+I22+SUM(I25:I29)+SUM(I31:I34)</f>
        <v>910350.63</v>
      </c>
      <c r="J36" s="361">
        <f>I36/$H$18</f>
        <v>1.6648786112579257</v>
      </c>
      <c r="K36" s="66"/>
      <c r="L36" s="363">
        <f>J36/$J$100</f>
        <v>0.23302991085423672</v>
      </c>
      <c r="M36" s="364">
        <f>M21+M22+SUM(M25:M29)+SUM(M31:M34)</f>
        <v>910350.63</v>
      </c>
      <c r="N36" s="66">
        <f t="shared" si="2"/>
        <v>1.6648786112579257</v>
      </c>
      <c r="O36" s="66"/>
    </row>
    <row r="37" spans="1:15">
      <c r="E37" s="357"/>
      <c r="F37" s="357"/>
      <c r="G37" s="357"/>
      <c r="H37" s="357"/>
      <c r="I37" s="357"/>
      <c r="J37" s="358"/>
      <c r="K37" s="66"/>
      <c r="O37" s="66"/>
    </row>
    <row r="38" spans="1:15" s="349" customFormat="1">
      <c r="A38" s="349" t="s">
        <v>75</v>
      </c>
      <c r="E38" s="365"/>
      <c r="F38" s="365"/>
      <c r="G38" s="365"/>
      <c r="H38" s="365"/>
      <c r="I38" s="365"/>
      <c r="J38" s="358"/>
      <c r="K38" s="66"/>
      <c r="O38" s="66"/>
    </row>
    <row r="39" spans="1:15">
      <c r="A39" s="11" t="s">
        <v>215</v>
      </c>
      <c r="B39" s="268">
        <f>'Despeses Personal 2023'!AA7</f>
        <v>1</v>
      </c>
      <c r="C39" s="347" t="e">
        <f>$H$9*D39</f>
        <v>#REF!</v>
      </c>
      <c r="D39" s="256">
        <f>'Despeses Personal 2023'!B7</f>
        <v>2</v>
      </c>
      <c r="E39" s="420">
        <f>ROUND('Despeses Personal 2023'!D7,2)</f>
        <v>49030.74</v>
      </c>
      <c r="F39" s="420">
        <f>ROUND(E39*$H$13,2)</f>
        <v>15934.99</v>
      </c>
      <c r="G39" s="420">
        <f>E39+F39</f>
        <v>64965.729999999996</v>
      </c>
      <c r="H39" s="420">
        <f>ROUND(G39/14,2)</f>
        <v>4640.41</v>
      </c>
      <c r="I39" s="420">
        <f>G39+H39</f>
        <v>69606.14</v>
      </c>
      <c r="J39" s="358">
        <f>I39/$H$18</f>
        <v>0.12729795518263634</v>
      </c>
      <c r="K39" s="66"/>
      <c r="L39" s="66"/>
      <c r="M39" s="66">
        <f>I39</f>
        <v>69606.14</v>
      </c>
      <c r="N39" s="66">
        <f t="shared" ref="N39:N46" si="4">M39/$H$18</f>
        <v>0.12729795518263634</v>
      </c>
      <c r="O39" s="66"/>
    </row>
    <row r="40" spans="1:15">
      <c r="A40" s="11" t="s">
        <v>216</v>
      </c>
      <c r="B40" s="268">
        <f>'Despeses Personal 2023'!AA12</f>
        <v>1</v>
      </c>
      <c r="C40" s="347" t="e">
        <f>$H$9*D40</f>
        <v>#REF!</v>
      </c>
      <c r="D40" s="256">
        <f>'Despeses Personal 2023'!B12</f>
        <v>2</v>
      </c>
      <c r="E40" s="420">
        <f>ROUND('Despeses Personal 2023'!D12,2)</f>
        <v>38921.919999999998</v>
      </c>
      <c r="F40" s="420">
        <f>ROUND(E40*$H$13,2)</f>
        <v>12649.62</v>
      </c>
      <c r="G40" s="420">
        <f>E40+F40</f>
        <v>51571.54</v>
      </c>
      <c r="H40" s="420">
        <f>ROUND(G40/14,2)</f>
        <v>3683.68</v>
      </c>
      <c r="I40" s="420">
        <f>G40+H40</f>
        <v>55255.22</v>
      </c>
      <c r="J40" s="358">
        <f t="shared" si="0"/>
        <v>0.10105252954935744</v>
      </c>
      <c r="K40" s="66"/>
      <c r="L40" s="66"/>
      <c r="M40" s="66">
        <f t="shared" ref="M40:M46" si="5">I40</f>
        <v>55255.22</v>
      </c>
      <c r="N40" s="66">
        <f t="shared" si="4"/>
        <v>0.10105252954935744</v>
      </c>
      <c r="O40" s="66"/>
    </row>
    <row r="41" spans="1:15">
      <c r="A41" s="11" t="s">
        <v>217</v>
      </c>
      <c r="B41" s="268">
        <f>'Despeses Personal 2023'!AA6</f>
        <v>0.875</v>
      </c>
      <c r="C41" s="347" t="e">
        <f>$H$9*D41</f>
        <v>#REF!</v>
      </c>
      <c r="D41" s="256">
        <f>'Despeses Personal 2023'!B6</f>
        <v>2</v>
      </c>
      <c r="E41" s="420">
        <f>ROUND('Despeses Personal 2023'!D6,2)</f>
        <v>34847.06</v>
      </c>
      <c r="F41" s="420">
        <f>ROUND(E41*$H$13,2)</f>
        <v>11325.29</v>
      </c>
      <c r="G41" s="420">
        <f>E41+F41</f>
        <v>46172.35</v>
      </c>
      <c r="H41" s="420">
        <f>ROUND(G41/14,2)</f>
        <v>3298.03</v>
      </c>
      <c r="I41" s="420">
        <f>G41+H41</f>
        <v>49470.38</v>
      </c>
      <c r="J41" s="358">
        <f>I41/$H$18</f>
        <v>9.047302746723189E-2</v>
      </c>
      <c r="K41" s="66"/>
      <c r="L41" s="66"/>
      <c r="M41" s="66">
        <f t="shared" si="5"/>
        <v>49470.38</v>
      </c>
      <c r="N41" s="66">
        <f t="shared" si="4"/>
        <v>9.047302746723189E-2</v>
      </c>
      <c r="O41" s="66"/>
    </row>
    <row r="42" spans="1:15">
      <c r="E42" s="420"/>
      <c r="F42" s="420"/>
      <c r="G42" s="420"/>
      <c r="H42" s="420"/>
      <c r="I42" s="420"/>
      <c r="J42" s="357"/>
      <c r="K42" s="66"/>
      <c r="M42" s="66"/>
      <c r="N42" s="66"/>
      <c r="O42" s="66"/>
    </row>
    <row r="43" spans="1:15">
      <c r="A43" s="11" t="s">
        <v>211</v>
      </c>
      <c r="B43" s="268">
        <f>B31</f>
        <v>0</v>
      </c>
      <c r="E43" s="420">
        <f>ROUND(SUM($E$39:$E$41)*B43,2)</f>
        <v>0</v>
      </c>
      <c r="F43" s="420">
        <f>ROUND(E43*$H$13,2)</f>
        <v>0</v>
      </c>
      <c r="G43" s="420">
        <f>E43+F43</f>
        <v>0</v>
      </c>
      <c r="H43" s="420">
        <f>ROUND(G43/14,2)</f>
        <v>0</v>
      </c>
      <c r="I43" s="420">
        <f>G43+H43</f>
        <v>0</v>
      </c>
      <c r="J43" s="358">
        <f>I43/$H$18</f>
        <v>0</v>
      </c>
      <c r="K43" s="66"/>
      <c r="L43" s="66"/>
      <c r="M43" s="66">
        <f t="shared" si="5"/>
        <v>0</v>
      </c>
      <c r="N43" s="66">
        <f t="shared" si="4"/>
        <v>0</v>
      </c>
      <c r="O43" s="66"/>
    </row>
    <row r="44" spans="1:15">
      <c r="A44" s="11" t="s">
        <v>212</v>
      </c>
      <c r="B44" s="268">
        <f>B32</f>
        <v>6.3E-2</v>
      </c>
      <c r="E44" s="420">
        <f>ROUND(SUM($E$39:$E$41)*B44,2)</f>
        <v>7736.38</v>
      </c>
      <c r="F44" s="420">
        <f>ROUND(E44*$H$13,2)</f>
        <v>2514.3200000000002</v>
      </c>
      <c r="G44" s="420">
        <f t="shared" ref="G44:G46" si="6">E44+F44</f>
        <v>10250.700000000001</v>
      </c>
      <c r="H44" s="420">
        <f>ROUND(G44/14,2)</f>
        <v>732.19</v>
      </c>
      <c r="I44" s="420">
        <f t="shared" ref="I44:I46" si="7">G44+H44</f>
        <v>10982.890000000001</v>
      </c>
      <c r="J44" s="358">
        <f>I44/$H$18</f>
        <v>2.0085863675184761E-2</v>
      </c>
      <c r="K44" s="66"/>
      <c r="L44" s="66"/>
      <c r="M44" s="66">
        <f t="shared" si="5"/>
        <v>10982.890000000001</v>
      </c>
      <c r="N44" s="66">
        <f t="shared" si="4"/>
        <v>2.0085863675184761E-2</v>
      </c>
      <c r="O44" s="66"/>
    </row>
    <row r="45" spans="1:15">
      <c r="A45" s="11" t="s">
        <v>213</v>
      </c>
      <c r="B45" s="268">
        <f>B33</f>
        <v>0.01</v>
      </c>
      <c r="E45" s="420">
        <f>ROUND(SUM($E$39:$E$41)*B45,2)</f>
        <v>1228</v>
      </c>
      <c r="F45" s="420">
        <f>ROUND(E45*$H$13,2)</f>
        <v>399.1</v>
      </c>
      <c r="G45" s="420">
        <f t="shared" si="6"/>
        <v>1627.1</v>
      </c>
      <c r="H45" s="420">
        <f>ROUND(G45/14,2)</f>
        <v>116.22</v>
      </c>
      <c r="I45" s="420">
        <f t="shared" si="7"/>
        <v>1743.32</v>
      </c>
      <c r="J45" s="358">
        <f>I45/$H$18</f>
        <v>3.1882398769561646E-3</v>
      </c>
      <c r="K45" s="66"/>
      <c r="L45" s="66"/>
      <c r="M45" s="66">
        <f t="shared" si="5"/>
        <v>1743.32</v>
      </c>
      <c r="N45" s="66">
        <f t="shared" si="4"/>
        <v>3.1882398769561646E-3</v>
      </c>
      <c r="O45" s="66"/>
    </row>
    <row r="46" spans="1:15">
      <c r="A46" s="11" t="s">
        <v>214</v>
      </c>
      <c r="B46" s="268">
        <f>B34</f>
        <v>0.01</v>
      </c>
      <c r="E46" s="420">
        <f>ROUND(SUM($E$39:$E$41)*B46,2)</f>
        <v>1228</v>
      </c>
      <c r="F46" s="420">
        <f>ROUND(E46*$H$13,2)</f>
        <v>399.1</v>
      </c>
      <c r="G46" s="420">
        <f t="shared" si="6"/>
        <v>1627.1</v>
      </c>
      <c r="H46" s="420">
        <f>ROUND(G46/14,2)</f>
        <v>116.22</v>
      </c>
      <c r="I46" s="420">
        <f t="shared" si="7"/>
        <v>1743.32</v>
      </c>
      <c r="J46" s="358">
        <f>I46/$H$18</f>
        <v>3.1882398769561646E-3</v>
      </c>
      <c r="K46" s="66"/>
      <c r="L46" s="66"/>
      <c r="M46" s="66">
        <f t="shared" si="5"/>
        <v>1743.32</v>
      </c>
      <c r="N46" s="66">
        <f t="shared" si="4"/>
        <v>3.1882398769561646E-3</v>
      </c>
      <c r="O46" s="66"/>
    </row>
    <row r="47" spans="1:15">
      <c r="E47" s="357"/>
      <c r="F47" s="357"/>
      <c r="G47" s="357"/>
      <c r="H47" s="357"/>
      <c r="I47" s="357"/>
      <c r="J47" s="357"/>
      <c r="K47" s="66"/>
      <c r="O47" s="66"/>
    </row>
    <row r="48" spans="1:15">
      <c r="A48" s="359" t="s">
        <v>76</v>
      </c>
      <c r="B48" s="383"/>
      <c r="C48" s="383"/>
      <c r="D48" s="350">
        <f>SUM(D39:D46)</f>
        <v>6</v>
      </c>
      <c r="E48" s="360">
        <f>SUM(E39:E41)+SUM(E43:E46)</f>
        <v>132992.1</v>
      </c>
      <c r="F48" s="360">
        <f t="shared" ref="F48:H48" si="8">SUM(F39:F41)+SUM(F43:F46)</f>
        <v>43222.42</v>
      </c>
      <c r="G48" s="360">
        <f t="shared" si="8"/>
        <v>176214.52</v>
      </c>
      <c r="H48" s="360">
        <f t="shared" si="8"/>
        <v>12586.75</v>
      </c>
      <c r="I48" s="361">
        <f>SUM(I39:I41)+SUM(I43:I46)</f>
        <v>188801.27</v>
      </c>
      <c r="J48" s="361">
        <f>I48/$H$18</f>
        <v>0.34528585562832276</v>
      </c>
      <c r="K48" s="66"/>
      <c r="L48" s="363">
        <f>J48/$J$100</f>
        <v>4.8329008260549755E-2</v>
      </c>
      <c r="M48" s="364">
        <f>SUM(M39:M41)+SUM(M43:M46)</f>
        <v>188801.27</v>
      </c>
      <c r="N48" s="66">
        <f t="shared" ref="N48" si="9">M48/$H$18</f>
        <v>0.34528585562832276</v>
      </c>
      <c r="O48" s="66"/>
    </row>
    <row r="49" spans="1:23" ht="15" thickBot="1">
      <c r="E49" s="357"/>
      <c r="F49" s="357"/>
      <c r="G49" s="357"/>
      <c r="H49" s="357"/>
      <c r="I49" s="357"/>
      <c r="J49" s="357"/>
      <c r="K49" s="66"/>
      <c r="O49" s="66"/>
    </row>
    <row r="50" spans="1:23" s="349" customFormat="1" ht="15" thickBot="1">
      <c r="A50" s="384" t="s">
        <v>82</v>
      </c>
      <c r="B50" s="385"/>
      <c r="C50" s="385"/>
      <c r="D50" s="386">
        <f>D36+D48</f>
        <v>34</v>
      </c>
      <c r="E50" s="387">
        <f>E36+E48</f>
        <v>774245.36</v>
      </c>
      <c r="F50" s="387">
        <f t="shared" ref="F50:H50" si="10">F36+F48</f>
        <v>251629.72999999998</v>
      </c>
      <c r="G50" s="387">
        <f t="shared" si="10"/>
        <v>1025875.09</v>
      </c>
      <c r="H50" s="387">
        <f t="shared" si="10"/>
        <v>73276.81</v>
      </c>
      <c r="I50" s="388">
        <f>I36+I48</f>
        <v>1099151.8999999999</v>
      </c>
      <c r="J50" s="361">
        <f>I50/$H$18</f>
        <v>2.0101644668862484</v>
      </c>
      <c r="K50" s="66"/>
      <c r="L50" s="363">
        <f>J50/$J$100</f>
        <v>0.28135891911478644</v>
      </c>
      <c r="M50" s="389">
        <f>M36+M48</f>
        <v>1099151.8999999999</v>
      </c>
      <c r="N50" s="66">
        <f t="shared" ref="N50" si="11">M50/$H$18</f>
        <v>2.0101644668862484</v>
      </c>
      <c r="O50" s="66"/>
    </row>
    <row r="51" spans="1:23">
      <c r="K51" s="66"/>
      <c r="O51" s="66"/>
    </row>
    <row r="52" spans="1:23">
      <c r="D52" s="11" t="s">
        <v>91</v>
      </c>
      <c r="K52" s="66"/>
      <c r="O52" s="66"/>
    </row>
    <row r="53" spans="1:23">
      <c r="C53" s="11" t="s">
        <v>90</v>
      </c>
      <c r="D53" s="11" t="s">
        <v>103</v>
      </c>
      <c r="I53" s="11" t="s">
        <v>50</v>
      </c>
      <c r="K53" s="66"/>
      <c r="O53" s="66"/>
      <c r="T53" s="169"/>
    </row>
    <row r="54" spans="1:23">
      <c r="A54" s="11" t="s">
        <v>89</v>
      </c>
      <c r="K54" s="66"/>
      <c r="O54" s="66"/>
    </row>
    <row r="55" spans="1:23">
      <c r="A55" s="11" t="s">
        <v>218</v>
      </c>
      <c r="C55" s="421">
        <f>'Estimacio increment IPC'!W8</f>
        <v>3.5631792</v>
      </c>
      <c r="D55" s="392">
        <f>H18</f>
        <v>546797</v>
      </c>
      <c r="I55" s="21">
        <f>C55*D55</f>
        <v>1948335.6970224001</v>
      </c>
      <c r="J55" s="65">
        <f>I55/$H$18</f>
        <v>3.5631792</v>
      </c>
      <c r="K55" s="66"/>
      <c r="L55" s="21"/>
      <c r="M55" s="66">
        <f t="shared" ref="M55:M58" si="12">I55</f>
        <v>1948335.6970224001</v>
      </c>
      <c r="N55" s="66">
        <f t="shared" ref="N55:N60" si="13">M55/$H$18</f>
        <v>3.5631792</v>
      </c>
      <c r="O55" s="66"/>
      <c r="W55" s="169"/>
    </row>
    <row r="56" spans="1:23">
      <c r="A56" s="11" t="s">
        <v>219</v>
      </c>
      <c r="B56" s="390">
        <v>0.65</v>
      </c>
      <c r="C56" s="96">
        <f>C55*B56</f>
        <v>2.3160664799999999</v>
      </c>
      <c r="D56" s="116">
        <f>D55*B56</f>
        <v>355418.05</v>
      </c>
      <c r="I56" s="21">
        <f>D56*C55</f>
        <v>1266418.20306456</v>
      </c>
      <c r="J56" s="65">
        <f t="shared" ref="J56:J57" si="14">I56/$H$18</f>
        <v>2.3160664799999999</v>
      </c>
      <c r="K56" s="66"/>
      <c r="L56" s="21"/>
      <c r="M56" s="66"/>
      <c r="N56" s="66"/>
      <c r="O56" s="66"/>
      <c r="W56" s="169"/>
    </row>
    <row r="57" spans="1:23">
      <c r="A57" s="11" t="s">
        <v>220</v>
      </c>
      <c r="B57" s="390">
        <v>0.35</v>
      </c>
      <c r="C57" s="96">
        <f>C55*B57</f>
        <v>1.2471127199999998</v>
      </c>
      <c r="D57" s="116">
        <f>D55*B57</f>
        <v>191378.94999999998</v>
      </c>
      <c r="I57" s="21">
        <f>D57*C55</f>
        <v>681917.49395783991</v>
      </c>
      <c r="J57" s="65">
        <f t="shared" si="14"/>
        <v>1.2471127199999998</v>
      </c>
      <c r="K57" s="66"/>
      <c r="L57" s="21"/>
      <c r="M57" s="66"/>
      <c r="N57" s="66"/>
      <c r="O57" s="66"/>
      <c r="W57" s="169"/>
    </row>
    <row r="58" spans="1:23">
      <c r="A58" s="11" t="s">
        <v>221</v>
      </c>
      <c r="C58" s="422">
        <f>ROUND(PROPOSTA2022!C58*(1+'Estimacio increment IPC'!G9),2)</f>
        <v>0.12</v>
      </c>
      <c r="D58" s="116">
        <f>ROUND((52*37*G18),2)</f>
        <v>2487732</v>
      </c>
      <c r="E58" s="11">
        <f>D58/D55</f>
        <v>4.5496445664478777</v>
      </c>
      <c r="F58" s="11">
        <v>5.29</v>
      </c>
      <c r="G58" s="68"/>
      <c r="I58" s="21">
        <f>C58*D58</f>
        <v>298527.83999999997</v>
      </c>
      <c r="J58" s="65">
        <f>I58/$H$18</f>
        <v>0.54595734797374518</v>
      </c>
      <c r="K58" s="66"/>
      <c r="L58" s="21"/>
      <c r="M58" s="66">
        <f t="shared" si="12"/>
        <v>298527.83999999997</v>
      </c>
      <c r="N58" s="66">
        <f t="shared" si="13"/>
        <v>0.54595734797374518</v>
      </c>
      <c r="O58" s="66"/>
      <c r="Q58" s="11" t="s">
        <v>170</v>
      </c>
    </row>
    <row r="59" spans="1:23">
      <c r="A59" s="11" t="s">
        <v>92</v>
      </c>
      <c r="K59" s="66"/>
      <c r="O59" s="66"/>
      <c r="P59" s="11">
        <v>0.19</v>
      </c>
      <c r="Q59" s="11" t="s">
        <v>171</v>
      </c>
    </row>
    <row r="60" spans="1:23">
      <c r="A60" s="399" t="s">
        <v>93</v>
      </c>
      <c r="B60" s="400"/>
      <c r="C60" s="400"/>
      <c r="D60" s="400"/>
      <c r="E60" s="400"/>
      <c r="F60" s="400"/>
      <c r="G60" s="400"/>
      <c r="H60" s="400"/>
      <c r="I60" s="401">
        <f>I55+I58</f>
        <v>2246863.5370224002</v>
      </c>
      <c r="J60" s="401">
        <f>I60/$H$18</f>
        <v>4.1091365479737458</v>
      </c>
      <c r="K60" s="66"/>
      <c r="L60" s="363">
        <f>J60/$J$100</f>
        <v>0.57514807204995833</v>
      </c>
      <c r="M60" s="401">
        <f>M55+M58</f>
        <v>2246863.5370224002</v>
      </c>
      <c r="N60" s="66">
        <f t="shared" si="13"/>
        <v>4.1091365479737458</v>
      </c>
      <c r="O60" s="66"/>
    </row>
    <row r="61" spans="1:23">
      <c r="A61" s="403"/>
      <c r="B61" s="403"/>
      <c r="C61" s="403"/>
      <c r="D61" s="403"/>
      <c r="E61" s="403"/>
      <c r="F61" s="403"/>
      <c r="G61" s="403"/>
      <c r="H61" s="403"/>
      <c r="I61" s="404"/>
      <c r="J61" s="404"/>
      <c r="K61" s="66"/>
      <c r="L61" s="404"/>
      <c r="M61" s="404"/>
      <c r="N61" s="404"/>
      <c r="O61" s="66"/>
    </row>
    <row r="62" spans="1:23">
      <c r="C62" s="11" t="s">
        <v>90</v>
      </c>
      <c r="D62" s="11" t="s">
        <v>103</v>
      </c>
      <c r="E62" s="11" t="s">
        <v>131</v>
      </c>
      <c r="F62" s="11" t="s">
        <v>158</v>
      </c>
      <c r="G62" s="11" t="s">
        <v>159</v>
      </c>
      <c r="I62" s="11" t="s">
        <v>104</v>
      </c>
      <c r="O62" s="66"/>
    </row>
    <row r="63" spans="1:23">
      <c r="O63" s="66"/>
    </row>
    <row r="64" spans="1:23">
      <c r="A64" s="11" t="s">
        <v>111</v>
      </c>
      <c r="C64" s="423">
        <f>ROUND(PROPOSTA2022!C64,2)</f>
        <v>25</v>
      </c>
      <c r="D64" s="96">
        <f>PROPOSTA2022!D64</f>
        <v>52</v>
      </c>
      <c r="I64" s="143">
        <f>C64*D64</f>
        <v>1300</v>
      </c>
      <c r="J64" s="65">
        <f>I64/$H$18</f>
        <v>2.3774819539975531E-3</v>
      </c>
      <c r="K64" s="64"/>
      <c r="L64" s="64"/>
      <c r="M64" s="66">
        <f t="shared" ref="M64:M84" si="15">I64</f>
        <v>1300</v>
      </c>
      <c r="N64" s="66">
        <f t="shared" ref="N64:N84" si="16">M64/$H$18</f>
        <v>2.3774819539975531E-3</v>
      </c>
      <c r="O64" s="66"/>
    </row>
    <row r="65" spans="1:19">
      <c r="A65" s="11" t="s">
        <v>100</v>
      </c>
      <c r="C65" s="423">
        <v>775</v>
      </c>
      <c r="D65" s="96">
        <v>1</v>
      </c>
      <c r="I65" s="143">
        <f>C65</f>
        <v>775</v>
      </c>
      <c r="J65" s="65">
        <f>I65/$H$18</f>
        <v>1.4173450110370027E-3</v>
      </c>
      <c r="K65" s="64"/>
      <c r="L65" s="64"/>
      <c r="M65" s="66">
        <f t="shared" si="15"/>
        <v>775</v>
      </c>
      <c r="N65" s="66">
        <f t="shared" si="16"/>
        <v>1.4173450110370027E-3</v>
      </c>
      <c r="O65" s="64"/>
    </row>
    <row r="66" spans="1:19">
      <c r="A66" s="11" t="s">
        <v>129</v>
      </c>
      <c r="C66" s="423">
        <v>115</v>
      </c>
      <c r="D66" s="96">
        <f>D21+D25</f>
        <v>17</v>
      </c>
      <c r="E66" s="11">
        <v>2</v>
      </c>
      <c r="I66" s="143">
        <f>C66*D66*E66</f>
        <v>3910</v>
      </c>
      <c r="J66" s="65">
        <f>I66/$H$18</f>
        <v>7.1507341847157173E-3</v>
      </c>
      <c r="K66" s="64"/>
      <c r="L66" s="64"/>
      <c r="M66" s="66">
        <f t="shared" si="15"/>
        <v>3910</v>
      </c>
      <c r="N66" s="66">
        <f t="shared" si="16"/>
        <v>7.1507341847157173E-3</v>
      </c>
      <c r="O66" s="64"/>
      <c r="Q66" s="11" t="s">
        <v>132</v>
      </c>
      <c r="R66" s="11" t="s">
        <v>133</v>
      </c>
      <c r="S66" s="11" t="s">
        <v>134</v>
      </c>
    </row>
    <row r="67" spans="1:19">
      <c r="A67" s="11" t="s">
        <v>130</v>
      </c>
      <c r="C67" s="423">
        <v>48</v>
      </c>
      <c r="D67" s="96">
        <f>D39+D40+D41</f>
        <v>6</v>
      </c>
      <c r="E67" s="11">
        <v>2</v>
      </c>
      <c r="I67" s="143">
        <f>C67*D67*E67</f>
        <v>576</v>
      </c>
      <c r="J67" s="65">
        <f>I67/$H$18</f>
        <v>1.0534073888481465E-3</v>
      </c>
      <c r="K67" s="64"/>
      <c r="L67" s="64"/>
      <c r="M67" s="66">
        <f t="shared" si="15"/>
        <v>576</v>
      </c>
      <c r="N67" s="66">
        <f t="shared" si="16"/>
        <v>1.0534073888481465E-3</v>
      </c>
      <c r="O67" s="64"/>
      <c r="Q67" s="11" t="s">
        <v>132</v>
      </c>
      <c r="R67" s="11" t="s">
        <v>133</v>
      </c>
      <c r="S67" s="11" t="s">
        <v>134</v>
      </c>
    </row>
    <row r="68" spans="1:19">
      <c r="A68" s="11" t="s">
        <v>98</v>
      </c>
      <c r="C68" s="423"/>
      <c r="D68" s="96"/>
      <c r="I68" s="143"/>
      <c r="J68" s="64"/>
      <c r="K68" s="64"/>
      <c r="L68" s="64"/>
      <c r="M68" s="66"/>
      <c r="N68" s="66"/>
      <c r="O68" s="64"/>
    </row>
    <row r="69" spans="1:19">
      <c r="A69" s="67" t="s">
        <v>99</v>
      </c>
      <c r="C69" s="423">
        <v>1050</v>
      </c>
      <c r="D69" s="96">
        <f>PROPOSTA2022!D69</f>
        <v>10</v>
      </c>
      <c r="E69" s="11">
        <v>12</v>
      </c>
      <c r="I69" s="143">
        <f>C69*D69*E69</f>
        <v>126000</v>
      </c>
      <c r="J69" s="65">
        <f t="shared" ref="J69:J72" si="17">I69/$H$18</f>
        <v>0.23043286631053206</v>
      </c>
      <c r="K69" s="64"/>
      <c r="L69" s="64"/>
      <c r="M69" s="66">
        <f t="shared" si="15"/>
        <v>126000</v>
      </c>
      <c r="N69" s="66">
        <f t="shared" si="16"/>
        <v>0.23043286631053206</v>
      </c>
      <c r="O69" s="64"/>
    </row>
    <row r="70" spans="1:19">
      <c r="A70" s="67" t="s">
        <v>105</v>
      </c>
      <c r="C70" s="141">
        <f>52*22</f>
        <v>1144</v>
      </c>
      <c r="D70" s="96">
        <f>PROPOSTA2022!D70</f>
        <v>10</v>
      </c>
      <c r="I70" s="143">
        <f t="shared" ref="I70" si="18">C70*D70</f>
        <v>11440</v>
      </c>
      <c r="J70" s="65">
        <f t="shared" si="17"/>
        <v>2.0921841195178467E-2</v>
      </c>
      <c r="K70" s="64"/>
      <c r="L70" s="64"/>
      <c r="M70" s="66">
        <f t="shared" si="15"/>
        <v>11440</v>
      </c>
      <c r="N70" s="66">
        <f t="shared" si="16"/>
        <v>2.0921841195178467E-2</v>
      </c>
      <c r="O70" s="64"/>
    </row>
    <row r="71" spans="1:19">
      <c r="A71" s="67" t="s">
        <v>95</v>
      </c>
      <c r="C71" s="423">
        <f>50*2.1</f>
        <v>105</v>
      </c>
      <c r="D71" s="96">
        <f>PROPOSTA2022!D71</f>
        <v>10</v>
      </c>
      <c r="E71" s="11">
        <f>365/5</f>
        <v>73</v>
      </c>
      <c r="F71" s="11">
        <f>((20*2)+15)*7*2</f>
        <v>770</v>
      </c>
      <c r="G71" s="11">
        <f>F71*D71*52</f>
        <v>400400</v>
      </c>
      <c r="H71" s="424">
        <f>(G71*9.11568472/100*2.1*(1+'Estimacio increment IPC'!G8))*'Estimacions apats i usuaris'!I28</f>
        <v>61166.6983217694</v>
      </c>
      <c r="I71" s="143">
        <f>C71*D71*E71</f>
        <v>76650</v>
      </c>
      <c r="J71" s="65">
        <f t="shared" si="17"/>
        <v>0.14017999367224035</v>
      </c>
      <c r="K71" s="64"/>
      <c r="L71" s="64"/>
      <c r="M71" s="66">
        <f t="shared" si="15"/>
        <v>76650</v>
      </c>
      <c r="N71" s="66">
        <f t="shared" si="16"/>
        <v>0.14017999367224035</v>
      </c>
      <c r="O71" s="64"/>
    </row>
    <row r="72" spans="1:19">
      <c r="A72" s="67" t="s">
        <v>154</v>
      </c>
      <c r="C72" s="423">
        <f>PROPOSTA2022!C72</f>
        <v>0.19</v>
      </c>
      <c r="D72" s="96">
        <f>PROPOSTA2022!D72</f>
        <v>52</v>
      </c>
      <c r="F72" s="96">
        <f>((20*2)+15)*5</f>
        <v>275</v>
      </c>
      <c r="I72" s="143">
        <f>C72*D72*F72</f>
        <v>2717</v>
      </c>
      <c r="J72" s="65">
        <f t="shared" si="17"/>
        <v>4.9689372838548854E-3</v>
      </c>
      <c r="K72" s="64"/>
      <c r="L72" s="64"/>
      <c r="M72" s="66">
        <f t="shared" si="15"/>
        <v>2717</v>
      </c>
      <c r="N72" s="66">
        <f t="shared" si="16"/>
        <v>4.9689372838548854E-3</v>
      </c>
      <c r="O72" s="64"/>
      <c r="Q72" s="11" t="s">
        <v>109</v>
      </c>
    </row>
    <row r="73" spans="1:19">
      <c r="A73" s="94" t="s">
        <v>96</v>
      </c>
      <c r="B73" s="95"/>
      <c r="C73" s="423">
        <f>PROPOSTA2022!C73</f>
        <v>12.25</v>
      </c>
      <c r="D73" s="96">
        <f>PROPOSTA2022!D73</f>
        <v>125</v>
      </c>
      <c r="I73" s="143">
        <f>C73*D73</f>
        <v>1531.25</v>
      </c>
      <c r="J73" s="65">
        <f>I73/$H$18</f>
        <v>2.8003994169682714E-3</v>
      </c>
      <c r="K73" s="66"/>
      <c r="L73" s="66"/>
      <c r="M73" s="66">
        <f>I73</f>
        <v>1531.25</v>
      </c>
      <c r="N73" s="66">
        <f>M73/$H$18</f>
        <v>2.8003994169682714E-3</v>
      </c>
      <c r="O73" s="66"/>
      <c r="Q73" s="11" t="s">
        <v>108</v>
      </c>
    </row>
    <row r="74" spans="1:19">
      <c r="A74" s="11" t="s">
        <v>139</v>
      </c>
      <c r="C74" s="423">
        <v>0.1</v>
      </c>
      <c r="D74" s="115">
        <f>(G18*12)+G18</f>
        <v>16809</v>
      </c>
      <c r="I74" s="143">
        <f>D74*C74</f>
        <v>1680.9</v>
      </c>
      <c r="J74" s="65">
        <f>I74/$H$18</f>
        <v>3.0740841665188364E-3</v>
      </c>
      <c r="K74" s="64"/>
      <c r="L74" s="64"/>
      <c r="M74" s="66">
        <f t="shared" si="15"/>
        <v>1680.9</v>
      </c>
      <c r="N74" s="66">
        <f t="shared" si="16"/>
        <v>3.0740841665188364E-3</v>
      </c>
      <c r="O74" s="64"/>
      <c r="Q74" s="11" t="s">
        <v>138</v>
      </c>
    </row>
    <row r="75" spans="1:19">
      <c r="A75" s="11" t="s">
        <v>140</v>
      </c>
      <c r="C75" s="423">
        <v>0.02</v>
      </c>
      <c r="D75" s="116">
        <f>H18</f>
        <v>546797</v>
      </c>
      <c r="I75" s="143">
        <f>C75*D75</f>
        <v>10935.94</v>
      </c>
      <c r="J75" s="65">
        <f>I75/$H$18</f>
        <v>0.02</v>
      </c>
      <c r="K75" s="64"/>
      <c r="L75" s="64"/>
      <c r="M75" s="66">
        <f t="shared" si="15"/>
        <v>10935.94</v>
      </c>
      <c r="N75" s="66">
        <f t="shared" si="16"/>
        <v>0.02</v>
      </c>
      <c r="O75" s="64"/>
    </row>
    <row r="76" spans="1:19">
      <c r="A76" s="11" t="s">
        <v>106</v>
      </c>
      <c r="C76" s="423">
        <v>0.8</v>
      </c>
      <c r="D76" s="96">
        <f>50*E76</f>
        <v>600</v>
      </c>
      <c r="E76" s="11">
        <v>12</v>
      </c>
      <c r="I76" s="143">
        <f>C76*D76*E76</f>
        <v>5760</v>
      </c>
      <c r="J76" s="65">
        <f>I76/$H$18</f>
        <v>1.0534073888481465E-2</v>
      </c>
      <c r="K76" s="64"/>
      <c r="L76" s="64"/>
      <c r="M76" s="66">
        <f t="shared" si="15"/>
        <v>5760</v>
      </c>
      <c r="N76" s="66">
        <f t="shared" si="16"/>
        <v>1.0534073888481465E-2</v>
      </c>
      <c r="O76" s="64"/>
      <c r="Q76" s="11" t="s">
        <v>107</v>
      </c>
    </row>
    <row r="77" spans="1:19">
      <c r="A77" s="11" t="s">
        <v>142</v>
      </c>
      <c r="C77" s="423">
        <f>PROPOSTA2022!C77</f>
        <v>375</v>
      </c>
      <c r="D77" s="96">
        <f>PROPOSTA2022!D77</f>
        <v>1</v>
      </c>
      <c r="E77" s="21"/>
      <c r="F77" s="21"/>
      <c r="I77" s="143">
        <f>C77*D77</f>
        <v>375</v>
      </c>
      <c r="J77" s="65">
        <f t="shared" ref="J77:J85" si="19">I77/$H$18</f>
        <v>6.8581210211467875E-4</v>
      </c>
      <c r="K77" s="64"/>
      <c r="L77" s="64"/>
      <c r="M77" s="66">
        <f t="shared" si="15"/>
        <v>375</v>
      </c>
      <c r="N77" s="66">
        <f t="shared" si="16"/>
        <v>6.8581210211467875E-4</v>
      </c>
      <c r="O77" s="64"/>
    </row>
    <row r="78" spans="1:19">
      <c r="A78" s="11" t="s">
        <v>141</v>
      </c>
      <c r="C78" s="423">
        <f>ROUND(PROPOSTA2022!C78*(1+'Estimacio increment IPC'!G8),2)+0.23</f>
        <v>4700</v>
      </c>
      <c r="D78" s="96">
        <v>1</v>
      </c>
      <c r="I78" s="143">
        <f>C78</f>
        <v>4700</v>
      </c>
      <c r="J78" s="65">
        <f t="shared" si="19"/>
        <v>8.5955116798373064E-3</v>
      </c>
      <c r="K78" s="64"/>
      <c r="L78" s="64"/>
      <c r="M78" s="66">
        <f t="shared" si="15"/>
        <v>4700</v>
      </c>
      <c r="N78" s="66">
        <f t="shared" si="16"/>
        <v>8.5955116798373064E-3</v>
      </c>
      <c r="O78" s="64"/>
    </row>
    <row r="79" spans="1:19">
      <c r="A79" s="11" t="s">
        <v>97</v>
      </c>
      <c r="C79" s="423">
        <f>ROUND(PROPOSTA2022!C79*(1+'Estimacio increment IPC'!G8),2)</f>
        <v>1003.85</v>
      </c>
      <c r="D79" s="96"/>
      <c r="E79" s="11">
        <f>PROPOSTA2022!E79</f>
        <v>12</v>
      </c>
      <c r="I79" s="143">
        <f>C79*E79</f>
        <v>12046.2</v>
      </c>
      <c r="J79" s="65">
        <f t="shared" si="19"/>
        <v>2.2030479318650251E-2</v>
      </c>
      <c r="K79" s="64"/>
      <c r="L79" s="64"/>
      <c r="M79" s="66">
        <f t="shared" si="15"/>
        <v>12046.2</v>
      </c>
      <c r="N79" s="66">
        <f t="shared" si="16"/>
        <v>2.2030479318650251E-2</v>
      </c>
      <c r="O79" s="64"/>
    </row>
    <row r="80" spans="1:19">
      <c r="A80" s="11" t="s">
        <v>229</v>
      </c>
      <c r="C80" s="423">
        <f>ROUND(PROPOSTA2022!C80*(1+'Estimacio increment IPC'!G8),2)</f>
        <v>28.19</v>
      </c>
      <c r="D80" s="116">
        <f>G18</f>
        <v>1293</v>
      </c>
      <c r="I80" s="142">
        <f>C80*D80</f>
        <v>36449.67</v>
      </c>
      <c r="J80" s="65">
        <f t="shared" si="19"/>
        <v>6.6660332810896908E-2</v>
      </c>
      <c r="K80" s="64"/>
      <c r="L80" s="64"/>
      <c r="M80" s="66">
        <f t="shared" si="15"/>
        <v>36449.67</v>
      </c>
      <c r="N80" s="66">
        <f t="shared" si="16"/>
        <v>6.6660332810896908E-2</v>
      </c>
      <c r="O80" s="64"/>
      <c r="Q80" s="11" t="s">
        <v>110</v>
      </c>
    </row>
    <row r="81" spans="1:22">
      <c r="A81" s="11" t="s">
        <v>101</v>
      </c>
      <c r="C81" s="423">
        <f>PROPOSTA2022!C81</f>
        <v>50</v>
      </c>
      <c r="D81" s="11">
        <f>D21+D25</f>
        <v>17</v>
      </c>
      <c r="I81" s="143">
        <f>C81*D81</f>
        <v>850</v>
      </c>
      <c r="J81" s="65">
        <f t="shared" si="19"/>
        <v>1.5545074314599384E-3</v>
      </c>
      <c r="K81" s="64"/>
      <c r="L81" s="64"/>
      <c r="M81" s="66">
        <f>I81</f>
        <v>850</v>
      </c>
      <c r="N81" s="66">
        <f t="shared" si="16"/>
        <v>1.5545074314599384E-3</v>
      </c>
      <c r="O81" s="64"/>
    </row>
    <row r="82" spans="1:22">
      <c r="A82" s="11" t="s">
        <v>102</v>
      </c>
      <c r="C82" s="423">
        <f>ROUND(PROPOSTA2022!C82*(1+'Estimacio increment IPC'!G8),2)</f>
        <v>16.27</v>
      </c>
      <c r="D82" s="11">
        <f>D81</f>
        <v>17</v>
      </c>
      <c r="E82" s="11">
        <v>12</v>
      </c>
      <c r="I82" s="143">
        <f>C82*E82*D82</f>
        <v>3319.08</v>
      </c>
      <c r="J82" s="65">
        <f t="shared" si="19"/>
        <v>6.0700406183647679E-3</v>
      </c>
      <c r="K82" s="64"/>
      <c r="L82" s="64"/>
      <c r="M82" s="66">
        <f t="shared" si="15"/>
        <v>3319.08</v>
      </c>
      <c r="N82" s="66">
        <f t="shared" si="16"/>
        <v>6.0700406183647679E-3</v>
      </c>
      <c r="O82" s="64"/>
      <c r="Q82" s="11" t="s">
        <v>169</v>
      </c>
    </row>
    <row r="83" spans="1:22">
      <c r="A83" s="11" t="s">
        <v>258</v>
      </c>
      <c r="C83" s="21"/>
      <c r="I83" s="245">
        <f>PROPOSTA2022!I83*(1+'Estimacio increment IPC'!$G$8)</f>
        <v>4332.850445</v>
      </c>
      <c r="J83" s="65">
        <f t="shared" si="19"/>
        <v>7.9240567248905908E-3</v>
      </c>
      <c r="K83" s="64"/>
      <c r="L83" s="64"/>
      <c r="M83" s="66"/>
      <c r="N83" s="66"/>
      <c r="O83" s="64"/>
    </row>
    <row r="84" spans="1:22">
      <c r="A84" s="11" t="s">
        <v>259</v>
      </c>
      <c r="C84" s="21"/>
      <c r="I84" s="245">
        <v>20000</v>
      </c>
      <c r="J84" s="65">
        <f t="shared" si="19"/>
        <v>3.6576645446116197E-2</v>
      </c>
      <c r="K84" s="64"/>
      <c r="L84" s="64"/>
      <c r="M84" s="66">
        <f t="shared" si="15"/>
        <v>20000</v>
      </c>
      <c r="N84" s="66">
        <f t="shared" si="16"/>
        <v>3.6576645446116197E-2</v>
      </c>
      <c r="O84" s="64"/>
    </row>
    <row r="85" spans="1:22">
      <c r="A85" s="11" t="s">
        <v>260</v>
      </c>
      <c r="C85" s="21"/>
      <c r="I85" s="140">
        <f>ROUND(PROPOSTA2022!I85*(1+'Estimacio increment IPC'!G8),2)</f>
        <v>3690</v>
      </c>
      <c r="J85" s="65">
        <f t="shared" si="19"/>
        <v>6.7483910848084392E-3</v>
      </c>
      <c r="K85" s="64"/>
      <c r="L85" s="64"/>
      <c r="M85" s="66"/>
      <c r="N85" s="66"/>
      <c r="O85" s="64"/>
    </row>
    <row r="86" spans="1:22" ht="15" thickBot="1">
      <c r="K86" s="64"/>
      <c r="O86" s="64"/>
      <c r="T86" s="168"/>
      <c r="V86" s="168"/>
    </row>
    <row r="87" spans="1:22" ht="15" thickBot="1">
      <c r="A87" s="405" t="s">
        <v>94</v>
      </c>
      <c r="B87" s="406"/>
      <c r="C87" s="406"/>
      <c r="D87" s="406"/>
      <c r="E87" s="406"/>
      <c r="F87" s="406"/>
      <c r="G87" s="406"/>
      <c r="H87" s="406"/>
      <c r="I87" s="407">
        <f>SUM(I64:I85)</f>
        <v>329038.89044500003</v>
      </c>
      <c r="J87" s="407">
        <f>I87/$H$18</f>
        <v>0.60175694168951188</v>
      </c>
      <c r="K87" s="64"/>
      <c r="L87" s="363">
        <f>J87/$J$100</f>
        <v>8.4226781177682397E-2</v>
      </c>
      <c r="M87" s="407">
        <f>SUM(M64:M84)</f>
        <v>321016.04000000004</v>
      </c>
      <c r="N87" s="407">
        <f>M87/$H$18</f>
        <v>0.58708449387981287</v>
      </c>
      <c r="O87" s="64"/>
    </row>
    <row r="88" spans="1:22" ht="15" thickBot="1">
      <c r="K88" s="64"/>
      <c r="O88" s="64"/>
    </row>
    <row r="89" spans="1:22" ht="15" thickBot="1">
      <c r="A89" s="405" t="s">
        <v>83</v>
      </c>
      <c r="B89" s="406"/>
      <c r="C89" s="406"/>
      <c r="D89" s="406"/>
      <c r="E89" s="406"/>
      <c r="F89" s="406"/>
      <c r="G89" s="406"/>
      <c r="H89" s="406"/>
      <c r="I89" s="407">
        <f>I60+I87</f>
        <v>2575902.4274674002</v>
      </c>
      <c r="J89" s="407">
        <f>I89/$H$18</f>
        <v>4.7108934896632579</v>
      </c>
      <c r="K89" s="64"/>
      <c r="L89" s="363">
        <f>J89/$J$100</f>
        <v>0.65937485322764078</v>
      </c>
      <c r="M89" s="407">
        <f>M60+M87</f>
        <v>2567879.5770224002</v>
      </c>
      <c r="N89" s="407">
        <f>M89/$H$18</f>
        <v>4.6962210418535584</v>
      </c>
      <c r="O89" s="64"/>
    </row>
    <row r="90" spans="1:22" ht="15" thickBot="1">
      <c r="K90" s="64"/>
      <c r="O90" s="64"/>
    </row>
    <row r="91" spans="1:22" ht="15" thickBot="1">
      <c r="A91" s="408" t="s">
        <v>84</v>
      </c>
      <c r="B91" s="409"/>
      <c r="C91" s="409"/>
      <c r="D91" s="409"/>
      <c r="E91" s="409"/>
      <c r="F91" s="409"/>
      <c r="G91" s="409"/>
      <c r="H91" s="409"/>
      <c r="I91" s="410">
        <f>I50+I89</f>
        <v>3675054.3274674001</v>
      </c>
      <c r="J91" s="410">
        <f>I91/$H$18</f>
        <v>6.7210579565495054</v>
      </c>
      <c r="K91" s="64"/>
      <c r="L91" s="363">
        <f>J91/$J$100</f>
        <v>0.94073377234242705</v>
      </c>
      <c r="M91" s="410">
        <f>M50+M89</f>
        <v>3667031.4770224001</v>
      </c>
      <c r="N91" s="410">
        <f>M91/$H$18</f>
        <v>6.7063855087398068</v>
      </c>
      <c r="O91" s="64"/>
    </row>
    <row r="92" spans="1:22">
      <c r="K92" s="64"/>
    </row>
    <row r="93" spans="1:22">
      <c r="A93" s="349" t="s">
        <v>157</v>
      </c>
      <c r="K93" s="64"/>
    </row>
    <row r="94" spans="1:22" ht="87">
      <c r="A94" s="412" t="s">
        <v>222</v>
      </c>
      <c r="B94" s="268">
        <f>PROPOSTA2022!B94</f>
        <v>2.5000000000000001E-2</v>
      </c>
      <c r="I94" s="66">
        <f>I91*B94</f>
        <v>91876.358186685015</v>
      </c>
      <c r="J94" s="65">
        <f>I94/$H$18</f>
        <v>0.16802644891373766</v>
      </c>
      <c r="K94" s="66"/>
      <c r="L94" s="363">
        <f>J94/$J$100</f>
        <v>2.3518344308560681E-2</v>
      </c>
      <c r="M94" s="66">
        <f>I94</f>
        <v>91876.358186685015</v>
      </c>
      <c r="N94" s="66">
        <f t="shared" ref="N94:N104" si="20">M94/$H$18</f>
        <v>0.16802644891373766</v>
      </c>
      <c r="O94" s="66"/>
    </row>
    <row r="96" spans="1:22">
      <c r="A96" s="96" t="s">
        <v>223</v>
      </c>
      <c r="B96" s="268">
        <f>PROPOSTA2022!B96</f>
        <v>3.7999999999999999E-2</v>
      </c>
      <c r="C96" s="96"/>
      <c r="D96" s="96"/>
      <c r="E96" s="96"/>
      <c r="F96" s="96"/>
      <c r="G96" s="96"/>
      <c r="H96" s="96" t="s">
        <v>172</v>
      </c>
      <c r="I96" s="167">
        <f>I91*B96</f>
        <v>139652.06444376119</v>
      </c>
      <c r="J96" s="396">
        <f>I96/$H$18</f>
        <v>0.25540020234888122</v>
      </c>
      <c r="K96" s="66"/>
      <c r="L96" s="363">
        <f>J96/$J$100</f>
        <v>3.574788334901223E-2</v>
      </c>
      <c r="M96" s="66">
        <f>I96</f>
        <v>139652.06444376119</v>
      </c>
      <c r="N96" s="66">
        <f t="shared" si="20"/>
        <v>0.25540020234888122</v>
      </c>
      <c r="O96" s="66"/>
    </row>
    <row r="97" spans="1:15" ht="15" thickBot="1">
      <c r="N97" s="66"/>
    </row>
    <row r="98" spans="1:15" ht="15" thickBot="1">
      <c r="A98" s="413" t="s">
        <v>85</v>
      </c>
      <c r="B98" s="414"/>
      <c r="C98" s="414"/>
      <c r="D98" s="414"/>
      <c r="E98" s="414"/>
      <c r="F98" s="414"/>
      <c r="G98" s="414"/>
      <c r="H98" s="414"/>
      <c r="I98" s="415">
        <f>I94+I96</f>
        <v>231528.42263044621</v>
      </c>
      <c r="J98" s="415">
        <f>I98/$H$18</f>
        <v>0.42342665126261886</v>
      </c>
      <c r="K98" s="65"/>
      <c r="L98" s="363">
        <f>J98/$J$100</f>
        <v>5.9266227657572911E-2</v>
      </c>
      <c r="M98" s="415">
        <f>M94+M96</f>
        <v>231528.42263044621</v>
      </c>
      <c r="N98" s="66">
        <f t="shared" si="20"/>
        <v>0.42342665126261886</v>
      </c>
      <c r="O98" s="65"/>
    </row>
    <row r="99" spans="1:15" ht="15" thickBot="1">
      <c r="N99" s="66"/>
    </row>
    <row r="100" spans="1:15" ht="15" thickBot="1">
      <c r="A100" s="413" t="s">
        <v>86</v>
      </c>
      <c r="B100" s="414"/>
      <c r="C100" s="414"/>
      <c r="D100" s="414"/>
      <c r="E100" s="414"/>
      <c r="F100" s="414"/>
      <c r="G100" s="414"/>
      <c r="H100" s="414"/>
      <c r="I100" s="415">
        <f>I91+I98</f>
        <v>3906582.7500978461</v>
      </c>
      <c r="J100" s="416">
        <f>I100/$H$18</f>
        <v>7.1444846078121245</v>
      </c>
      <c r="K100" s="65"/>
      <c r="L100" s="363">
        <f>J100/$J$100</f>
        <v>1</v>
      </c>
      <c r="M100" s="415">
        <f>M91+M98</f>
        <v>3898559.8996528462</v>
      </c>
      <c r="N100" s="66">
        <f t="shared" si="20"/>
        <v>7.1298121600024249</v>
      </c>
      <c r="O100" s="65"/>
    </row>
    <row r="101" spans="1:15">
      <c r="H101" s="425"/>
      <c r="I101" s="66"/>
      <c r="N101" s="66"/>
    </row>
    <row r="102" spans="1:15">
      <c r="A102" s="403" t="s">
        <v>87</v>
      </c>
      <c r="B102" s="418">
        <v>0.1</v>
      </c>
      <c r="C102" s="403"/>
      <c r="D102" s="403"/>
      <c r="E102" s="403"/>
      <c r="F102" s="403"/>
      <c r="G102" s="403"/>
      <c r="H102" s="403"/>
      <c r="I102" s="65">
        <f>I100*B102</f>
        <v>390658.27500978461</v>
      </c>
      <c r="J102" s="65">
        <f>I102/$H$18</f>
        <v>0.71444846078121238</v>
      </c>
      <c r="K102" s="65"/>
      <c r="L102" s="65"/>
      <c r="M102" s="65">
        <f>M100*B102</f>
        <v>389855.98996528465</v>
      </c>
      <c r="N102" s="66">
        <f t="shared" si="20"/>
        <v>0.71298121600024256</v>
      </c>
      <c r="O102" s="65"/>
    </row>
    <row r="103" spans="1:15" ht="15" thickBot="1">
      <c r="N103" s="66"/>
    </row>
    <row r="104" spans="1:15" ht="15" thickBot="1">
      <c r="A104" s="413" t="s">
        <v>88</v>
      </c>
      <c r="B104" s="414"/>
      <c r="C104" s="414"/>
      <c r="D104" s="414"/>
      <c r="E104" s="414"/>
      <c r="F104" s="414"/>
      <c r="G104" s="414"/>
      <c r="H104" s="414"/>
      <c r="I104" s="415">
        <f>I100+I102</f>
        <v>4297241.0251076305</v>
      </c>
      <c r="J104" s="415">
        <f>I104/$H$18</f>
        <v>7.8589330685933367</v>
      </c>
      <c r="K104" s="65"/>
      <c r="L104" s="363">
        <f>J104/$J$100</f>
        <v>1.0999999999999999</v>
      </c>
      <c r="M104" s="415">
        <f>M100+M102</f>
        <v>4288415.8896181304</v>
      </c>
      <c r="N104" s="66">
        <f t="shared" si="20"/>
        <v>7.8427933760026676</v>
      </c>
      <c r="O104" s="65"/>
    </row>
  </sheetData>
  <mergeCells count="12">
    <mergeCell ref="B9:C9"/>
    <mergeCell ref="D9:E9"/>
    <mergeCell ref="B5:E5"/>
    <mergeCell ref="I5:L5"/>
    <mergeCell ref="D6:E6"/>
    <mergeCell ref="D7:E7"/>
    <mergeCell ref="D8:E8"/>
    <mergeCell ref="C10:E10"/>
    <mergeCell ref="I10:N10"/>
    <mergeCell ref="C11:E11"/>
    <mergeCell ref="C12:E12"/>
    <mergeCell ref="C13:E13"/>
  </mergeCells>
  <pageMargins left="0.7" right="0.7" top="0.75" bottom="0.75" header="0.3" footer="0.3"/>
  <pageSetup paperSize="8" fitToHeight="0" orientation="landscape" r:id="rId1"/>
  <customProperties>
    <customPr name="EpmWorksheetKeyString_GUID" r:id="rId2"/>
  </customProperties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W104"/>
  <sheetViews>
    <sheetView topLeftCell="A25" zoomScaleNormal="100" workbookViewId="0">
      <selection activeCell="B39" sqref="B39:B41"/>
    </sheetView>
  </sheetViews>
  <sheetFormatPr defaultColWidth="8.7265625" defaultRowHeight="14.5"/>
  <cols>
    <col min="1" max="1" width="45.1796875" style="11" customWidth="1"/>
    <col min="2" max="2" width="9.453125" style="11" bestFit="1" customWidth="1"/>
    <col min="3" max="3" width="13.1796875" style="11" bestFit="1" customWidth="1"/>
    <col min="4" max="4" width="10.7265625" style="11" customWidth="1"/>
    <col min="5" max="6" width="16.1796875" style="11" bestFit="1" customWidth="1"/>
    <col min="7" max="7" width="16.7265625" style="11" bestFit="1" customWidth="1"/>
    <col min="8" max="8" width="22.54296875" style="11" bestFit="1" customWidth="1"/>
    <col min="9" max="9" width="16.7265625" style="11" bestFit="1" customWidth="1"/>
    <col min="10" max="10" width="13.81640625" style="11" bestFit="1" customWidth="1"/>
    <col min="11" max="11" width="16.26953125" style="11" bestFit="1" customWidth="1"/>
    <col min="12" max="12" width="8.1796875" style="11" bestFit="1" customWidth="1"/>
    <col min="13" max="13" width="16.26953125" style="11" customWidth="1"/>
    <col min="14" max="14" width="17.453125" style="11" bestFit="1" customWidth="1"/>
    <col min="15" max="15" width="14.7265625" style="11" customWidth="1"/>
    <col min="16" max="16" width="7.26953125" style="11" bestFit="1" customWidth="1"/>
    <col min="17" max="19" width="8.7265625" style="11"/>
    <col min="20" max="21" width="9.54296875" style="11" bestFit="1" customWidth="1"/>
    <col min="22" max="22" width="8.7265625" style="11"/>
    <col min="23" max="23" width="9.54296875" style="11" bestFit="1" customWidth="1"/>
    <col min="24" max="16384" width="8.7265625" style="11"/>
  </cols>
  <sheetData>
    <row r="1" spans="1:16" ht="21">
      <c r="A1" s="366" t="s">
        <v>200</v>
      </c>
      <c r="B1" s="366"/>
      <c r="C1" s="366"/>
      <c r="D1" s="366"/>
      <c r="E1" s="367"/>
      <c r="F1" s="367"/>
      <c r="G1" s="366"/>
      <c r="H1" s="366"/>
    </row>
    <row r="2" spans="1:16">
      <c r="A2" s="100">
        <v>2024</v>
      </c>
      <c r="B2" s="100"/>
      <c r="C2" s="100"/>
      <c r="D2" s="100"/>
      <c r="E2" s="101"/>
      <c r="F2" s="101"/>
      <c r="G2" s="100"/>
      <c r="H2" s="100"/>
    </row>
    <row r="3" spans="1:16">
      <c r="A3" s="368" t="s">
        <v>173</v>
      </c>
      <c r="B3" s="100"/>
      <c r="C3" s="100"/>
      <c r="D3" s="100"/>
      <c r="E3" s="101"/>
      <c r="F3" s="101"/>
      <c r="G3" s="100"/>
      <c r="H3" s="100"/>
    </row>
    <row r="4" spans="1:16">
      <c r="A4" s="100"/>
      <c r="B4" s="100"/>
      <c r="C4" s="100"/>
      <c r="D4" s="100"/>
      <c r="E4" s="101"/>
      <c r="F4" s="101"/>
      <c r="G4" s="100"/>
      <c r="H4" s="100"/>
    </row>
    <row r="5" spans="1:16" ht="41.5">
      <c r="A5" s="102" t="s">
        <v>174</v>
      </c>
      <c r="B5" s="540" t="s">
        <v>201</v>
      </c>
      <c r="C5" s="540"/>
      <c r="D5" s="540"/>
      <c r="E5" s="540"/>
      <c r="F5" s="103"/>
      <c r="G5" s="107" t="s">
        <v>186</v>
      </c>
      <c r="H5" s="419" t="s">
        <v>202</v>
      </c>
      <c r="I5" s="531" t="s">
        <v>203</v>
      </c>
      <c r="J5" s="532"/>
      <c r="K5" s="532"/>
      <c r="L5" s="533"/>
      <c r="M5" s="100"/>
      <c r="N5" s="100"/>
    </row>
    <row r="6" spans="1:16" ht="16.5">
      <c r="A6" s="102"/>
      <c r="B6" s="370" t="s">
        <v>175</v>
      </c>
      <c r="C6" s="370" t="s">
        <v>176</v>
      </c>
      <c r="D6" s="541" t="s">
        <v>177</v>
      </c>
      <c r="E6" s="542"/>
      <c r="F6" s="103"/>
      <c r="G6" s="102" t="s">
        <v>187</v>
      </c>
      <c r="H6" s="371">
        <f>PROPOSTA2022!H6</f>
        <v>8</v>
      </c>
      <c r="I6" s="372"/>
      <c r="J6" s="108"/>
      <c r="K6" s="108"/>
      <c r="L6" s="108"/>
      <c r="M6" s="108"/>
      <c r="N6" s="108"/>
    </row>
    <row r="7" spans="1:16">
      <c r="A7" s="373" t="s">
        <v>178</v>
      </c>
      <c r="B7" s="374">
        <v>45352</v>
      </c>
      <c r="C7" s="374">
        <v>46081</v>
      </c>
      <c r="D7" s="541">
        <v>2</v>
      </c>
      <c r="E7" s="542"/>
      <c r="F7" s="103"/>
      <c r="G7" s="102" t="s">
        <v>188</v>
      </c>
      <c r="H7" s="371">
        <f>PROPOSTA2022!H7</f>
        <v>40</v>
      </c>
      <c r="I7" s="104" t="s">
        <v>189</v>
      </c>
      <c r="J7" s="104" t="s">
        <v>190</v>
      </c>
      <c r="K7" s="104" t="s">
        <v>191</v>
      </c>
      <c r="L7" s="104" t="s">
        <v>192</v>
      </c>
      <c r="M7" s="104" t="s">
        <v>193</v>
      </c>
      <c r="N7" s="104" t="s">
        <v>194</v>
      </c>
    </row>
    <row r="8" spans="1:16" ht="15" thickBot="1">
      <c r="A8" s="373" t="s">
        <v>179</v>
      </c>
      <c r="B8" s="374">
        <v>46082</v>
      </c>
      <c r="C8" s="374">
        <v>46812</v>
      </c>
      <c r="D8" s="541">
        <v>2</v>
      </c>
      <c r="E8" s="542"/>
      <c r="F8" s="103"/>
      <c r="G8" s="102" t="s">
        <v>195</v>
      </c>
      <c r="H8" s="371" t="e">
        <f>N8</f>
        <v>#REF!</v>
      </c>
      <c r="I8" s="371" t="e">
        <f>#REF!</f>
        <v>#REF!</v>
      </c>
      <c r="J8" s="371" t="e">
        <f>#REF!</f>
        <v>#REF!</v>
      </c>
      <c r="K8" s="371" t="e">
        <f>#REF!</f>
        <v>#REF!</v>
      </c>
      <c r="L8" s="371" t="e">
        <f>#REF!</f>
        <v>#REF!</v>
      </c>
      <c r="M8" s="377" t="e">
        <f>#REF!</f>
        <v>#REF!</v>
      </c>
      <c r="N8" s="371" t="e">
        <f>I8-J8-K8-L8-M8</f>
        <v>#REF!</v>
      </c>
      <c r="O8" s="426" t="s">
        <v>332</v>
      </c>
      <c r="P8" s="427" t="e">
        <f>N8*H6</f>
        <v>#REF!</v>
      </c>
    </row>
    <row r="9" spans="1:16">
      <c r="A9" s="373" t="s">
        <v>50</v>
      </c>
      <c r="B9" s="543"/>
      <c r="C9" s="544"/>
      <c r="D9" s="541">
        <f>SUM(D7:D8)</f>
        <v>4</v>
      </c>
      <c r="E9" s="542"/>
      <c r="F9" s="103"/>
      <c r="G9" s="102" t="s">
        <v>196</v>
      </c>
      <c r="H9" s="371" t="e">
        <f>H6*H8</f>
        <v>#REF!</v>
      </c>
      <c r="I9" s="428">
        <v>306</v>
      </c>
      <c r="J9" s="428">
        <v>88</v>
      </c>
      <c r="K9" s="428">
        <v>12</v>
      </c>
      <c r="L9" s="428">
        <f>30/12*10</f>
        <v>25</v>
      </c>
      <c r="M9" s="429">
        <f>INT(4/12*10)</f>
        <v>3</v>
      </c>
      <c r="N9" s="430">
        <f>I9-SUM(J9:M9)</f>
        <v>178</v>
      </c>
      <c r="O9" s="426" t="s">
        <v>333</v>
      </c>
      <c r="P9" s="427">
        <f>H6*N9</f>
        <v>1424</v>
      </c>
    </row>
    <row r="10" spans="1:16">
      <c r="A10" s="379" t="s">
        <v>180</v>
      </c>
      <c r="B10" s="380">
        <f>PROPOSTA2022!B10</f>
        <v>1</v>
      </c>
      <c r="C10" s="536"/>
      <c r="D10" s="536"/>
      <c r="E10" s="536"/>
      <c r="F10" s="103"/>
      <c r="G10" s="102" t="s">
        <v>197</v>
      </c>
      <c r="H10" s="371">
        <f>PROPOSTA2022!H10</f>
        <v>1791</v>
      </c>
      <c r="I10" s="103"/>
      <c r="J10" s="345"/>
      <c r="K10" s="345"/>
      <c r="L10" s="345"/>
      <c r="M10" s="345"/>
      <c r="N10" s="346"/>
    </row>
    <row r="11" spans="1:16" ht="15.5">
      <c r="A11" s="373" t="s">
        <v>181</v>
      </c>
      <c r="B11" s="381" t="str">
        <f>PROPOSTA2022!B11</f>
        <v>LOT 1</v>
      </c>
      <c r="C11" s="537" t="str">
        <f>PROPOSTA2022!C11</f>
        <v>SERVEI D'ÀPATS A DOMICILI</v>
      </c>
      <c r="D11" s="538"/>
      <c r="E11" s="539"/>
      <c r="F11" s="103"/>
      <c r="G11" s="356"/>
      <c r="H11" s="356"/>
      <c r="I11" s="356"/>
      <c r="J11" s="356"/>
      <c r="K11" s="356"/>
      <c r="L11" s="356"/>
      <c r="M11" s="356"/>
      <c r="N11" s="356"/>
    </row>
    <row r="12" spans="1:16" ht="15" thickBot="1">
      <c r="A12" s="102" t="s">
        <v>183</v>
      </c>
      <c r="B12" s="380">
        <f>PROPOSTA2022!B12</f>
        <v>7</v>
      </c>
      <c r="C12" s="530" t="str">
        <f>PROPOSTA2022!C12</f>
        <v>De dilluns a diumenge</v>
      </c>
      <c r="D12" s="530"/>
      <c r="E12" s="530"/>
      <c r="F12" s="103"/>
      <c r="G12" s="105" t="s">
        <v>198</v>
      </c>
      <c r="H12" s="109"/>
      <c r="I12" s="356"/>
      <c r="J12" s="356"/>
      <c r="K12" s="356"/>
      <c r="L12" s="356"/>
      <c r="M12" s="110"/>
      <c r="N12" s="356"/>
    </row>
    <row r="13" spans="1:16" ht="15" thickBot="1">
      <c r="A13" s="102" t="s">
        <v>185</v>
      </c>
      <c r="B13" s="380">
        <f>PROPOSTA2022!B13</f>
        <v>365</v>
      </c>
      <c r="C13" s="530" t="str">
        <f>PROPOSTA2022!C13</f>
        <v>De dilluns a diumenge</v>
      </c>
      <c r="D13" s="530"/>
      <c r="E13" s="530"/>
      <c r="F13" s="103"/>
      <c r="G13" s="111" t="s">
        <v>199</v>
      </c>
      <c r="H13" s="112">
        <f>'Original subrogació 2022'!I1</f>
        <v>0.32500000000000001</v>
      </c>
      <c r="I13" s="356"/>
      <c r="J13" s="100"/>
      <c r="K13" s="101"/>
      <c r="L13" s="101"/>
      <c r="M13" s="100"/>
      <c r="N13" s="100"/>
    </row>
    <row r="14" spans="1:16">
      <c r="A14" s="105"/>
      <c r="B14" s="356"/>
      <c r="C14" s="356"/>
      <c r="D14" s="106"/>
      <c r="E14" s="106"/>
      <c r="F14" s="106"/>
      <c r="G14" s="100"/>
      <c r="H14" s="100"/>
    </row>
    <row r="15" spans="1:16">
      <c r="M15" s="349" t="s">
        <v>145</v>
      </c>
      <c r="N15" s="349"/>
    </row>
    <row r="16" spans="1:16">
      <c r="G16" s="11" t="s">
        <v>155</v>
      </c>
      <c r="H16" s="11" t="s">
        <v>146</v>
      </c>
      <c r="I16" s="349" t="s">
        <v>148</v>
      </c>
      <c r="J16" s="349" t="s">
        <v>150</v>
      </c>
      <c r="K16" s="349" t="s">
        <v>143</v>
      </c>
      <c r="L16" s="349"/>
      <c r="M16" s="349" t="s">
        <v>151</v>
      </c>
      <c r="N16" s="349" t="s">
        <v>153</v>
      </c>
    </row>
    <row r="17" spans="1:15">
      <c r="G17" s="11" t="s">
        <v>156</v>
      </c>
      <c r="H17" s="11" t="s">
        <v>147</v>
      </c>
      <c r="I17" s="349" t="s">
        <v>149</v>
      </c>
      <c r="J17" s="349" t="s">
        <v>149</v>
      </c>
      <c r="K17" s="349" t="s">
        <v>144</v>
      </c>
      <c r="L17" s="349" t="s">
        <v>72</v>
      </c>
      <c r="M17" s="349" t="s">
        <v>152</v>
      </c>
      <c r="N17" s="349" t="s">
        <v>152</v>
      </c>
    </row>
    <row r="18" spans="1:15">
      <c r="G18" s="116">
        <f>'Estimacions apats i usuaris'!J34</f>
        <v>1332</v>
      </c>
      <c r="H18" s="116">
        <f>'Estimacions apats i usuaris'!J32</f>
        <v>563200.91</v>
      </c>
    </row>
    <row r="19" spans="1:15" ht="29">
      <c r="B19" s="11" t="s">
        <v>112</v>
      </c>
      <c r="C19" s="11" t="s">
        <v>78</v>
      </c>
      <c r="D19" s="412" t="s">
        <v>79</v>
      </c>
      <c r="E19" s="11" t="s">
        <v>80</v>
      </c>
      <c r="F19" s="11" t="s">
        <v>63</v>
      </c>
      <c r="G19" s="11" t="s">
        <v>66</v>
      </c>
      <c r="H19" s="11" t="s">
        <v>81</v>
      </c>
      <c r="I19" s="11" t="s">
        <v>50</v>
      </c>
    </row>
    <row r="20" spans="1:15">
      <c r="A20" s="349" t="s">
        <v>73</v>
      </c>
    </row>
    <row r="21" spans="1:15">
      <c r="A21" s="11" t="s">
        <v>204</v>
      </c>
      <c r="B21" s="268">
        <f>'Despeses Personal 2023'!AA8</f>
        <v>1</v>
      </c>
      <c r="C21" s="347" t="e">
        <f>$H$9*D21</f>
        <v>#REF!</v>
      </c>
      <c r="D21" s="11">
        <f>PROPOSTA2023!D21</f>
        <v>16</v>
      </c>
      <c r="E21" s="420">
        <f>ROUND(PROPOSTA2023!E21*(1+PROPOSTA2023!$B$31),2)</f>
        <v>348754.78</v>
      </c>
      <c r="F21" s="420">
        <f>ROUND(E21*$H$13,2)</f>
        <v>113345.3</v>
      </c>
      <c r="G21" s="420">
        <f>E21+F21</f>
        <v>462100.08</v>
      </c>
      <c r="H21" s="420">
        <f>ROUND(G21/14,2)</f>
        <v>33007.15</v>
      </c>
      <c r="I21" s="420">
        <f>G21+H21</f>
        <v>495107.23000000004</v>
      </c>
      <c r="J21" s="358">
        <f>I21/$H$18</f>
        <v>0.87909522376304405</v>
      </c>
      <c r="K21" s="66"/>
      <c r="L21" s="66"/>
      <c r="M21" s="66">
        <f>I21</f>
        <v>495107.23000000004</v>
      </c>
      <c r="N21" s="66">
        <f>M21/$H$18</f>
        <v>0.87909522376304405</v>
      </c>
      <c r="O21" s="66"/>
    </row>
    <row r="22" spans="1:15">
      <c r="A22" s="11" t="s">
        <v>205</v>
      </c>
      <c r="B22" s="268">
        <f>'Despeses Personal 2023'!AA5</f>
        <v>0.91666666666666674</v>
      </c>
      <c r="C22" s="347" t="e">
        <f>$H$9*D22</f>
        <v>#REF!</v>
      </c>
      <c r="D22" s="11">
        <f>PROPOSTA2023!D22</f>
        <v>6</v>
      </c>
      <c r="E22" s="420">
        <f>ROUND(PROPOSTA2023!E22*(1+PROPOSTA2023!$B$31),2)</f>
        <v>109354.68</v>
      </c>
      <c r="F22" s="420">
        <f>ROUND(E22*$H$13,2)</f>
        <v>35540.269999999997</v>
      </c>
      <c r="G22" s="420">
        <f>E22+F22</f>
        <v>144894.94999999998</v>
      </c>
      <c r="H22" s="420">
        <f>ROUND(G22/14,2)</f>
        <v>10349.64</v>
      </c>
      <c r="I22" s="420">
        <f>G22+H22</f>
        <v>155244.58999999997</v>
      </c>
      <c r="J22" s="358">
        <f t="shared" ref="J22:J40" si="0">I22/$H$18</f>
        <v>0.27564690902221722</v>
      </c>
      <c r="K22" s="66"/>
      <c r="L22" s="66"/>
      <c r="M22" s="66">
        <f t="shared" ref="M22:M33" si="1">I22</f>
        <v>155244.58999999997</v>
      </c>
      <c r="N22" s="66">
        <f t="shared" ref="N22:N36" si="2">M22/$H$18</f>
        <v>0.27564690902221722</v>
      </c>
      <c r="O22" s="66"/>
    </row>
    <row r="23" spans="1:15">
      <c r="C23" s="347"/>
      <c r="E23" s="420"/>
      <c r="F23" s="357"/>
      <c r="G23" s="357"/>
      <c r="H23" s="357"/>
      <c r="I23" s="357"/>
      <c r="J23" s="357"/>
      <c r="K23" s="66"/>
      <c r="L23" s="66"/>
      <c r="M23" s="66"/>
      <c r="N23" s="66"/>
      <c r="O23" s="66"/>
    </row>
    <row r="24" spans="1:15">
      <c r="A24" s="349" t="s">
        <v>74</v>
      </c>
      <c r="C24" s="347"/>
      <c r="E24" s="420"/>
      <c r="F24" s="357"/>
      <c r="G24" s="357"/>
      <c r="H24" s="357"/>
      <c r="I24" s="357"/>
      <c r="J24" s="357"/>
      <c r="M24" s="66"/>
      <c r="N24" s="66"/>
    </row>
    <row r="25" spans="1:15">
      <c r="A25" s="11" t="s">
        <v>206</v>
      </c>
      <c r="B25" s="268">
        <f>'Despeses Personal 2023'!AA10</f>
        <v>1</v>
      </c>
      <c r="C25" s="347" t="e">
        <f>$H$9*D25</f>
        <v>#REF!</v>
      </c>
      <c r="D25" s="11">
        <f>PROPOSTA2023!D25</f>
        <v>1</v>
      </c>
      <c r="E25" s="420">
        <f>ROUND(PROPOSTA2023!E25*(1+PROPOSTA2023!$B$31),2)</f>
        <v>23786.6</v>
      </c>
      <c r="F25" s="420">
        <f>ROUND(E25*$H$13,2)</f>
        <v>7730.65</v>
      </c>
      <c r="G25" s="420">
        <f>E25+F25</f>
        <v>31517.25</v>
      </c>
      <c r="H25" s="420">
        <f>ROUND(G25/14,2)</f>
        <v>2251.23</v>
      </c>
      <c r="I25" s="420">
        <f>G25+H25</f>
        <v>33768.480000000003</v>
      </c>
      <c r="J25" s="358">
        <f t="shared" si="0"/>
        <v>5.9958141757974079E-2</v>
      </c>
      <c r="K25" s="66"/>
      <c r="L25" s="66"/>
      <c r="M25" s="66">
        <f t="shared" si="1"/>
        <v>33768.480000000003</v>
      </c>
      <c r="N25" s="66">
        <f t="shared" si="2"/>
        <v>5.9958141757974079E-2</v>
      </c>
      <c r="O25" s="66"/>
    </row>
    <row r="26" spans="1:15">
      <c r="A26" s="11" t="s">
        <v>207</v>
      </c>
      <c r="B26" s="268">
        <f>'Despeses Personal 2023'!AA9</f>
        <v>1</v>
      </c>
      <c r="C26" s="347" t="e">
        <f>$H$9*D26</f>
        <v>#REF!</v>
      </c>
      <c r="D26" s="11">
        <f>PROPOSTA2023!D26</f>
        <v>1</v>
      </c>
      <c r="E26" s="420">
        <f>ROUND(PROPOSTA2023!E26*(1+PROPOSTA2023!$B$31),2)</f>
        <v>25999.94</v>
      </c>
      <c r="F26" s="420">
        <f>ROUND(E26*$H$13,2)</f>
        <v>8449.98</v>
      </c>
      <c r="G26" s="420">
        <f t="shared" ref="G26:G28" si="3">E26+F26</f>
        <v>34449.919999999998</v>
      </c>
      <c r="H26" s="420">
        <f>ROUND(G26/14,2)</f>
        <v>2460.71</v>
      </c>
      <c r="I26" s="420">
        <f t="shared" ref="I26:I28" si="4">G26+H26</f>
        <v>36910.629999999997</v>
      </c>
      <c r="J26" s="358">
        <f t="shared" si="0"/>
        <v>6.5537234305960188E-2</v>
      </c>
      <c r="K26" s="66"/>
      <c r="L26" s="66"/>
      <c r="M26" s="66">
        <f t="shared" si="1"/>
        <v>36910.629999999997</v>
      </c>
      <c r="N26" s="66">
        <f t="shared" si="2"/>
        <v>6.5537234305960188E-2</v>
      </c>
      <c r="O26" s="66"/>
    </row>
    <row r="27" spans="1:15">
      <c r="A27" s="11" t="s">
        <v>208</v>
      </c>
      <c r="B27" s="268">
        <f>'Despeses Personal 2023'!AA3</f>
        <v>1</v>
      </c>
      <c r="C27" s="347" t="e">
        <f>$H$9*D27</f>
        <v>#REF!</v>
      </c>
      <c r="D27" s="11">
        <f>PROPOSTA2023!D27</f>
        <v>1</v>
      </c>
      <c r="E27" s="420">
        <f>ROUND(PROPOSTA2023!E27*(1+PROPOSTA2023!$B$31),2)</f>
        <v>22275.72</v>
      </c>
      <c r="F27" s="420">
        <f>ROUND(E27*$H$13,2)</f>
        <v>7239.61</v>
      </c>
      <c r="G27" s="420">
        <f t="shared" si="3"/>
        <v>29515.33</v>
      </c>
      <c r="H27" s="420">
        <f>ROUND(G27/14,2)</f>
        <v>2108.2399999999998</v>
      </c>
      <c r="I27" s="420">
        <f t="shared" si="4"/>
        <v>31623.57</v>
      </c>
      <c r="J27" s="358">
        <f t="shared" si="0"/>
        <v>5.6149713962642567E-2</v>
      </c>
      <c r="K27" s="66"/>
      <c r="L27" s="66"/>
      <c r="M27" s="66">
        <f t="shared" si="1"/>
        <v>31623.57</v>
      </c>
      <c r="N27" s="66">
        <f t="shared" si="2"/>
        <v>5.6149713962642567E-2</v>
      </c>
      <c r="O27" s="66"/>
    </row>
    <row r="28" spans="1:15">
      <c r="A28" s="11" t="s">
        <v>209</v>
      </c>
      <c r="B28" s="268">
        <f>'Despeses Personal 2023'!AA4</f>
        <v>1</v>
      </c>
      <c r="C28" s="347" t="e">
        <f>$H$9*D28</f>
        <v>#REF!</v>
      </c>
      <c r="D28" s="11">
        <f>PROPOSTA2023!D28</f>
        <v>2</v>
      </c>
      <c r="E28" s="420">
        <f>ROUND(PROPOSTA2023!E28*(1+PROPOSTA2023!$B$31),2)</f>
        <v>39660.839999999997</v>
      </c>
      <c r="F28" s="420">
        <f>ROUND(E28*$H$13,2)</f>
        <v>12889.77</v>
      </c>
      <c r="G28" s="420">
        <f t="shared" si="3"/>
        <v>52550.61</v>
      </c>
      <c r="H28" s="420">
        <f>ROUND(G28/14,2)</f>
        <v>3753.62</v>
      </c>
      <c r="I28" s="420">
        <f t="shared" si="4"/>
        <v>56304.23</v>
      </c>
      <c r="J28" s="358">
        <f t="shared" si="0"/>
        <v>9.9971837758571797E-2</v>
      </c>
      <c r="K28" s="66"/>
      <c r="L28" s="66"/>
      <c r="M28" s="66">
        <f t="shared" si="1"/>
        <v>56304.23</v>
      </c>
      <c r="N28" s="66">
        <f t="shared" si="2"/>
        <v>9.9971837758571797E-2</v>
      </c>
      <c r="O28" s="66"/>
    </row>
    <row r="29" spans="1:15">
      <c r="A29" s="11" t="s">
        <v>210</v>
      </c>
      <c r="B29" s="268">
        <f>'Despeses Personal 2023'!AA11</f>
        <v>1</v>
      </c>
      <c r="C29" s="347" t="e">
        <f>$H$9*D29</f>
        <v>#REF!</v>
      </c>
      <c r="D29" s="11">
        <f>PROPOSTA2023!D29</f>
        <v>1</v>
      </c>
      <c r="E29" s="420">
        <f>ROUND(PROPOSTA2023!E29*(1+PROPOSTA2023!$B$31),2)</f>
        <v>22275.72</v>
      </c>
      <c r="F29" s="420">
        <f>ROUND(E29*$H$13,2)</f>
        <v>7239.61</v>
      </c>
      <c r="G29" s="420">
        <f>E29+F29</f>
        <v>29515.33</v>
      </c>
      <c r="H29" s="420">
        <f>ROUND(G29/14,2)</f>
        <v>2108.2399999999998</v>
      </c>
      <c r="I29" s="420">
        <f>G29+H29</f>
        <v>31623.57</v>
      </c>
      <c r="J29" s="358">
        <f t="shared" si="0"/>
        <v>5.6149713962642567E-2</v>
      </c>
      <c r="K29" s="66"/>
      <c r="L29" s="66"/>
      <c r="M29" s="66">
        <f t="shared" si="1"/>
        <v>31623.57</v>
      </c>
      <c r="N29" s="66">
        <f t="shared" si="2"/>
        <v>5.6149713962642567E-2</v>
      </c>
      <c r="O29" s="66"/>
    </row>
    <row r="30" spans="1:15">
      <c r="E30" s="420"/>
      <c r="F30" s="420"/>
      <c r="G30" s="420"/>
      <c r="H30" s="420"/>
      <c r="I30" s="420"/>
      <c r="J30" s="358"/>
      <c r="M30" s="66"/>
      <c r="N30" s="66"/>
    </row>
    <row r="31" spans="1:15">
      <c r="A31" s="11" t="s">
        <v>211</v>
      </c>
      <c r="B31" s="268">
        <f>'Estimacio index increm salarial'!G28</f>
        <v>2.5000000000000001E-2</v>
      </c>
      <c r="E31" s="420">
        <f>ROUND(($E$21+$E$22+SUM($E$25:$E$29))*B31,2)</f>
        <v>14802.71</v>
      </c>
      <c r="F31" s="420">
        <f>ROUND(E31*$H$13,2)</f>
        <v>4810.88</v>
      </c>
      <c r="G31" s="420">
        <f>E31+F31</f>
        <v>19613.59</v>
      </c>
      <c r="H31" s="420">
        <f>ROUND(G31/14,2)</f>
        <v>1400.97</v>
      </c>
      <c r="I31" s="420">
        <f>G31+H31</f>
        <v>21014.560000000001</v>
      </c>
      <c r="J31" s="358">
        <f>I31/$H$18</f>
        <v>3.7312723802239593E-2</v>
      </c>
      <c r="K31" s="66"/>
      <c r="L31" s="66"/>
      <c r="M31" s="66">
        <f t="shared" si="1"/>
        <v>21014.560000000001</v>
      </c>
      <c r="N31" s="66">
        <f t="shared" si="2"/>
        <v>3.7312723802239593E-2</v>
      </c>
      <c r="O31" s="66"/>
    </row>
    <row r="32" spans="1:15">
      <c r="A32" s="11" t="s">
        <v>212</v>
      </c>
      <c r="B32" s="268">
        <f>PROPOSTA2023!B32</f>
        <v>6.3E-2</v>
      </c>
      <c r="E32" s="420">
        <f>ROUND(($E$21+$E$22+SUM($E$25:$E$29))*B32,2)</f>
        <v>37302.82</v>
      </c>
      <c r="F32" s="420">
        <f>ROUND(E32*$H$13,2)</f>
        <v>12123.42</v>
      </c>
      <c r="G32" s="420">
        <f>E32+F32</f>
        <v>49426.239999999998</v>
      </c>
      <c r="H32" s="420">
        <f>ROUND(G32/14,2)</f>
        <v>3530.45</v>
      </c>
      <c r="I32" s="420">
        <f>G32+H32</f>
        <v>52956.689999999995</v>
      </c>
      <c r="J32" s="358">
        <f t="shared" si="0"/>
        <v>9.4028061850965391E-2</v>
      </c>
      <c r="K32" s="66"/>
      <c r="L32" s="66"/>
      <c r="M32" s="66">
        <f t="shared" si="1"/>
        <v>52956.689999999995</v>
      </c>
      <c r="N32" s="66">
        <f t="shared" si="2"/>
        <v>9.4028061850965391E-2</v>
      </c>
      <c r="O32" s="66"/>
    </row>
    <row r="33" spans="1:15">
      <c r="A33" s="11" t="s">
        <v>213</v>
      </c>
      <c r="B33" s="268">
        <v>0.01</v>
      </c>
      <c r="E33" s="420">
        <f>ROUND(($E$21+$E$22+SUM($E$25:$E$29))*B33,2)</f>
        <v>5921.08</v>
      </c>
      <c r="F33" s="420">
        <f>ROUND(E33*$H$13,2)</f>
        <v>1924.35</v>
      </c>
      <c r="G33" s="420">
        <f>E33+F33</f>
        <v>7845.43</v>
      </c>
      <c r="H33" s="420">
        <f>ROUND(G33/14,2)</f>
        <v>560.39</v>
      </c>
      <c r="I33" s="420">
        <f>G33+H33</f>
        <v>8405.82</v>
      </c>
      <c r="J33" s="358">
        <f t="shared" si="0"/>
        <v>1.4925082418634585E-2</v>
      </c>
      <c r="K33" s="66"/>
      <c r="L33" s="66"/>
      <c r="M33" s="66">
        <f t="shared" si="1"/>
        <v>8405.82</v>
      </c>
      <c r="N33" s="66">
        <f t="shared" si="2"/>
        <v>1.4925082418634585E-2</v>
      </c>
      <c r="O33" s="66"/>
    </row>
    <row r="34" spans="1:15">
      <c r="A34" s="11" t="s">
        <v>214</v>
      </c>
      <c r="B34" s="268">
        <v>0.01</v>
      </c>
      <c r="E34" s="420">
        <f>ROUND(($E$21+$E$22+SUM($E$25:$E$29))*B34,2)</f>
        <v>5921.08</v>
      </c>
      <c r="F34" s="420">
        <f>ROUND(E34*$H$13,2)</f>
        <v>1924.35</v>
      </c>
      <c r="G34" s="420">
        <f>E34+F34</f>
        <v>7845.43</v>
      </c>
      <c r="H34" s="420">
        <f>ROUND(G34/14,2)</f>
        <v>560.39</v>
      </c>
      <c r="I34" s="420">
        <f>G34+H34</f>
        <v>8405.82</v>
      </c>
      <c r="J34" s="358">
        <f t="shared" si="0"/>
        <v>1.4925082418634585E-2</v>
      </c>
      <c r="K34" s="66"/>
      <c r="L34" s="66"/>
      <c r="M34" s="66">
        <f>I34</f>
        <v>8405.82</v>
      </c>
      <c r="N34" s="66">
        <f t="shared" si="2"/>
        <v>1.4925082418634585E-2</v>
      </c>
      <c r="O34" s="66"/>
    </row>
    <row r="35" spans="1:15">
      <c r="E35" s="357"/>
      <c r="F35" s="357"/>
      <c r="G35" s="357"/>
      <c r="H35" s="357"/>
      <c r="I35" s="357"/>
      <c r="J35" s="358"/>
    </row>
    <row r="36" spans="1:15" s="349" customFormat="1">
      <c r="A36" s="359" t="s">
        <v>77</v>
      </c>
      <c r="B36" s="348"/>
      <c r="C36" s="348"/>
      <c r="D36" s="350">
        <f>SUM(D21:D34)</f>
        <v>28</v>
      </c>
      <c r="E36" s="360">
        <f>E21+E22+SUM(E25:E29)+SUM(E31:E34)</f>
        <v>656055.97</v>
      </c>
      <c r="F36" s="360">
        <f>F21+F22+SUM(F25:F29)+SUM(F31:F34)</f>
        <v>213218.19</v>
      </c>
      <c r="G36" s="360">
        <f>G21+G22+SUM(G25:G29)+SUM(G31:G34)</f>
        <v>869274.15999999992</v>
      </c>
      <c r="H36" s="360">
        <f>H21+H22+SUM(H25:H29)+SUM(H31:H34)</f>
        <v>62091.03</v>
      </c>
      <c r="I36" s="361">
        <f>I21+I22+SUM(I25:I29)+SUM(I31:I34)</f>
        <v>931365.19000000006</v>
      </c>
      <c r="J36" s="361">
        <f>I36/$H$18</f>
        <v>1.6536997250235268</v>
      </c>
      <c r="K36" s="362"/>
      <c r="L36" s="363">
        <f>J36/$J$100</f>
        <v>0.22349752548608079</v>
      </c>
      <c r="M36" s="364">
        <f>M21+M22+SUM(M25:M29)+SUM(M31:M34)</f>
        <v>931365.19000000006</v>
      </c>
      <c r="N36" s="66">
        <f t="shared" si="2"/>
        <v>1.6536997250235268</v>
      </c>
      <c r="O36" s="362"/>
    </row>
    <row r="37" spans="1:15">
      <c r="E37" s="357"/>
      <c r="F37" s="357"/>
      <c r="G37" s="357"/>
      <c r="H37" s="357"/>
      <c r="I37" s="357"/>
      <c r="J37" s="358"/>
    </row>
    <row r="38" spans="1:15" s="349" customFormat="1">
      <c r="A38" s="349" t="s">
        <v>75</v>
      </c>
      <c r="E38" s="365"/>
      <c r="F38" s="365"/>
      <c r="G38" s="365"/>
      <c r="H38" s="365"/>
      <c r="I38" s="365"/>
      <c r="J38" s="358"/>
    </row>
    <row r="39" spans="1:15">
      <c r="A39" s="11" t="s">
        <v>215</v>
      </c>
      <c r="B39" s="268">
        <f>'Despeses Personal 2023'!AA7</f>
        <v>1</v>
      </c>
      <c r="C39" s="347" t="e">
        <f>$H$9*D39</f>
        <v>#REF!</v>
      </c>
      <c r="D39" s="11">
        <f>PROPOSTA2023!D39</f>
        <v>2</v>
      </c>
      <c r="E39" s="420">
        <f>ROUND(PROPOSTA2023!E39*(1+PROPOSTA2023!$B$31),2)</f>
        <v>49030.74</v>
      </c>
      <c r="F39" s="420">
        <f>ROUND(E39*$H$13,2)</f>
        <v>15934.99</v>
      </c>
      <c r="G39" s="420">
        <f>E39+F39</f>
        <v>64965.729999999996</v>
      </c>
      <c r="H39" s="420">
        <f>ROUND(G39/14,2)</f>
        <v>4640.41</v>
      </c>
      <c r="I39" s="420">
        <f>G39+H39</f>
        <v>69606.14</v>
      </c>
      <c r="J39" s="358">
        <f>I39/$H$18</f>
        <v>0.12359024775013236</v>
      </c>
      <c r="K39" s="66"/>
      <c r="L39" s="66"/>
      <c r="M39" s="66">
        <f>I39</f>
        <v>69606.14</v>
      </c>
      <c r="N39" s="66">
        <f t="shared" ref="N39:N46" si="5">M39/$H$18</f>
        <v>0.12359024775013236</v>
      </c>
      <c r="O39" s="66"/>
    </row>
    <row r="40" spans="1:15">
      <c r="A40" s="11" t="s">
        <v>216</v>
      </c>
      <c r="B40" s="268">
        <f>'Despeses Personal 2023'!AA12</f>
        <v>1</v>
      </c>
      <c r="C40" s="347" t="e">
        <f>$H$9*D40</f>
        <v>#REF!</v>
      </c>
      <c r="D40" s="11">
        <f>PROPOSTA2023!D40</f>
        <v>2</v>
      </c>
      <c r="E40" s="420">
        <f>ROUND(PROPOSTA2023!E40*(1+PROPOSTA2023!$B$31),2)</f>
        <v>38921.919999999998</v>
      </c>
      <c r="F40" s="420">
        <f>ROUND(E40*$H$13,2)</f>
        <v>12649.62</v>
      </c>
      <c r="G40" s="420">
        <f>E40+F40</f>
        <v>51571.54</v>
      </c>
      <c r="H40" s="420">
        <f>ROUND(G40/14,2)</f>
        <v>3683.68</v>
      </c>
      <c r="I40" s="420">
        <f>G40+H40</f>
        <v>55255.22</v>
      </c>
      <c r="J40" s="358">
        <f t="shared" si="0"/>
        <v>9.8109251989667412E-2</v>
      </c>
      <c r="K40" s="66"/>
      <c r="L40" s="66"/>
      <c r="M40" s="66">
        <f t="shared" ref="M40:M46" si="6">I40</f>
        <v>55255.22</v>
      </c>
      <c r="N40" s="66">
        <f t="shared" si="5"/>
        <v>9.8109251989667412E-2</v>
      </c>
      <c r="O40" s="66"/>
    </row>
    <row r="41" spans="1:15">
      <c r="A41" s="11" t="s">
        <v>217</v>
      </c>
      <c r="B41" s="268">
        <f>'Despeses Personal 2023'!AA6</f>
        <v>0.875</v>
      </c>
      <c r="C41" s="347" t="e">
        <f>$H$9*D41</f>
        <v>#REF!</v>
      </c>
      <c r="D41" s="11">
        <f>PROPOSTA2023!D41</f>
        <v>2</v>
      </c>
      <c r="E41" s="420">
        <f>ROUND(PROPOSTA2023!E41*(1+PROPOSTA2023!$B$31),2)</f>
        <v>34847.06</v>
      </c>
      <c r="F41" s="420">
        <f>ROUND(E41*$H$13,2)</f>
        <v>11325.29</v>
      </c>
      <c r="G41" s="420">
        <f>E41+F41</f>
        <v>46172.35</v>
      </c>
      <c r="H41" s="420">
        <f>ROUND(G41/14,2)</f>
        <v>3298.03</v>
      </c>
      <c r="I41" s="420">
        <f>G41+H41</f>
        <v>49470.38</v>
      </c>
      <c r="J41" s="358">
        <f>I41/$H$18</f>
        <v>8.7837890744885322E-2</v>
      </c>
      <c r="K41" s="66"/>
      <c r="L41" s="66"/>
      <c r="M41" s="66">
        <f t="shared" si="6"/>
        <v>49470.38</v>
      </c>
      <c r="N41" s="66">
        <f t="shared" si="5"/>
        <v>8.7837890744885322E-2</v>
      </c>
      <c r="O41" s="66"/>
    </row>
    <row r="42" spans="1:15">
      <c r="E42" s="420"/>
      <c r="F42" s="420"/>
      <c r="G42" s="420"/>
      <c r="H42" s="420"/>
      <c r="I42" s="420"/>
      <c r="J42" s="357"/>
      <c r="M42" s="66"/>
      <c r="N42" s="66"/>
    </row>
    <row r="43" spans="1:15">
      <c r="A43" s="11" t="s">
        <v>211</v>
      </c>
      <c r="B43" s="268">
        <f>B31</f>
        <v>2.5000000000000001E-2</v>
      </c>
      <c r="E43" s="420">
        <f>ROUND(SUM($E$39:$E$41)*B43,2)</f>
        <v>3069.99</v>
      </c>
      <c r="F43" s="420">
        <f>ROUND(E43*$H$13,2)</f>
        <v>997.75</v>
      </c>
      <c r="G43" s="420">
        <f>E43+F43</f>
        <v>4067.74</v>
      </c>
      <c r="H43" s="420">
        <f>ROUND(G43/14,2)</f>
        <v>290.55</v>
      </c>
      <c r="I43" s="420">
        <f>G43+H43</f>
        <v>4358.29</v>
      </c>
      <c r="J43" s="431">
        <f>I43/$H$18</f>
        <v>7.7384285476385321E-3</v>
      </c>
      <c r="K43" s="66"/>
      <c r="L43" s="66"/>
      <c r="M43" s="66">
        <f t="shared" si="6"/>
        <v>4358.29</v>
      </c>
      <c r="N43" s="66">
        <f t="shared" si="5"/>
        <v>7.7384285476385321E-3</v>
      </c>
      <c r="O43" s="66"/>
    </row>
    <row r="44" spans="1:15">
      <c r="A44" s="11" t="s">
        <v>212</v>
      </c>
      <c r="B44" s="268">
        <f>PROPOSTA2023!B44</f>
        <v>6.3E-2</v>
      </c>
      <c r="E44" s="420">
        <f>ROUND(SUM($E$39:$E$41)*B44,2)</f>
        <v>7736.38</v>
      </c>
      <c r="F44" s="420">
        <f>ROUND(E44*$H$13,2)</f>
        <v>2514.3200000000002</v>
      </c>
      <c r="G44" s="420">
        <f t="shared" ref="G44:G46" si="7">E44+F44</f>
        <v>10250.700000000001</v>
      </c>
      <c r="H44" s="420">
        <f>ROUND(G44/14,2)</f>
        <v>732.19</v>
      </c>
      <c r="I44" s="420">
        <f t="shared" ref="I44:I46" si="8">G44+H44</f>
        <v>10982.890000000001</v>
      </c>
      <c r="J44" s="431">
        <f>I44/$H$18</f>
        <v>1.9500838519596855E-2</v>
      </c>
      <c r="K44" s="66"/>
      <c r="L44" s="66"/>
      <c r="M44" s="66">
        <f t="shared" si="6"/>
        <v>10982.890000000001</v>
      </c>
      <c r="N44" s="66">
        <f t="shared" si="5"/>
        <v>1.9500838519596855E-2</v>
      </c>
      <c r="O44" s="66"/>
    </row>
    <row r="45" spans="1:15">
      <c r="A45" s="11" t="s">
        <v>213</v>
      </c>
      <c r="B45" s="268">
        <f>B33</f>
        <v>0.01</v>
      </c>
      <c r="E45" s="420">
        <f>ROUND(SUM($E$39:$E$41)*B45,2)</f>
        <v>1228</v>
      </c>
      <c r="F45" s="420">
        <f>ROUND(E45*$H$13,2)</f>
        <v>399.1</v>
      </c>
      <c r="G45" s="420">
        <f t="shared" si="7"/>
        <v>1627.1</v>
      </c>
      <c r="H45" s="420">
        <f>ROUND(G45/14,2)</f>
        <v>116.22</v>
      </c>
      <c r="I45" s="420">
        <f t="shared" si="8"/>
        <v>1743.32</v>
      </c>
      <c r="J45" s="431">
        <f>I45/$H$18</f>
        <v>3.0953785213166645E-3</v>
      </c>
      <c r="K45" s="66"/>
      <c r="L45" s="66"/>
      <c r="M45" s="66">
        <f t="shared" si="6"/>
        <v>1743.32</v>
      </c>
      <c r="N45" s="66">
        <f t="shared" si="5"/>
        <v>3.0953785213166645E-3</v>
      </c>
      <c r="O45" s="66"/>
    </row>
    <row r="46" spans="1:15">
      <c r="A46" s="11" t="s">
        <v>214</v>
      </c>
      <c r="B46" s="268">
        <f>B34</f>
        <v>0.01</v>
      </c>
      <c r="E46" s="420">
        <f>ROUND(SUM($E$39:$E$41)*B46,2)</f>
        <v>1228</v>
      </c>
      <c r="F46" s="420">
        <f>ROUND(E46*$H$13,2)</f>
        <v>399.1</v>
      </c>
      <c r="G46" s="420">
        <f t="shared" si="7"/>
        <v>1627.1</v>
      </c>
      <c r="H46" s="420">
        <f>ROUND(G46/14,2)</f>
        <v>116.22</v>
      </c>
      <c r="I46" s="420">
        <f t="shared" si="8"/>
        <v>1743.32</v>
      </c>
      <c r="J46" s="431">
        <f>I46/$H$18</f>
        <v>3.0953785213166645E-3</v>
      </c>
      <c r="K46" s="66"/>
      <c r="L46" s="66"/>
      <c r="M46" s="66">
        <f t="shared" si="6"/>
        <v>1743.32</v>
      </c>
      <c r="N46" s="66">
        <f t="shared" si="5"/>
        <v>3.0953785213166645E-3</v>
      </c>
      <c r="O46" s="66"/>
    </row>
    <row r="47" spans="1:15">
      <c r="E47" s="357"/>
      <c r="F47" s="357"/>
      <c r="G47" s="357"/>
      <c r="H47" s="357"/>
      <c r="I47" s="357"/>
      <c r="J47" s="357"/>
    </row>
    <row r="48" spans="1:15">
      <c r="A48" s="359" t="s">
        <v>76</v>
      </c>
      <c r="B48" s="383"/>
      <c r="C48" s="383"/>
      <c r="D48" s="350">
        <f>SUM(D39:D46)</f>
        <v>6</v>
      </c>
      <c r="E48" s="360">
        <f>SUM(E39:E41)+SUM(E43:E46)</f>
        <v>136062.09</v>
      </c>
      <c r="F48" s="360">
        <f t="shared" ref="F48:H48" si="9">SUM(F39:F41)+SUM(F43:F46)</f>
        <v>44220.17</v>
      </c>
      <c r="G48" s="360">
        <f t="shared" si="9"/>
        <v>180282.26</v>
      </c>
      <c r="H48" s="360">
        <f t="shared" si="9"/>
        <v>12877.300000000001</v>
      </c>
      <c r="I48" s="361">
        <f>SUM(I39:I41)+SUM(I43:I46)</f>
        <v>193159.56</v>
      </c>
      <c r="J48" s="361">
        <f>I48/$H$18</f>
        <v>0.34296741459455382</v>
      </c>
      <c r="K48" s="362"/>
      <c r="L48" s="363">
        <f>J48/$J$100</f>
        <v>4.6352047668842065E-2</v>
      </c>
      <c r="M48" s="364">
        <f>SUM(M39:M41)+SUM(M43:M46)</f>
        <v>193159.56</v>
      </c>
      <c r="N48" s="66">
        <f t="shared" ref="N48" si="10">M48/$H$18</f>
        <v>0.34296741459455382</v>
      </c>
      <c r="O48" s="362"/>
    </row>
    <row r="49" spans="1:23" ht="15" thickBot="1">
      <c r="E49" s="357"/>
      <c r="F49" s="357"/>
      <c r="G49" s="357"/>
      <c r="H49" s="357"/>
      <c r="I49" s="357"/>
      <c r="J49" s="357"/>
    </row>
    <row r="50" spans="1:23" s="349" customFormat="1" ht="15" thickBot="1">
      <c r="A50" s="384" t="s">
        <v>82</v>
      </c>
      <c r="B50" s="385"/>
      <c r="C50" s="385"/>
      <c r="D50" s="386">
        <f>D36+D48</f>
        <v>34</v>
      </c>
      <c r="E50" s="387">
        <f>E36+E48</f>
        <v>792118.05999999994</v>
      </c>
      <c r="F50" s="387">
        <f t="shared" ref="F50:H50" si="11">F36+F48</f>
        <v>257438.36</v>
      </c>
      <c r="G50" s="387">
        <f t="shared" si="11"/>
        <v>1049556.42</v>
      </c>
      <c r="H50" s="387">
        <f t="shared" si="11"/>
        <v>74968.33</v>
      </c>
      <c r="I50" s="388">
        <f>I36+I48</f>
        <v>1124524.75</v>
      </c>
      <c r="J50" s="361">
        <f>I50/$H$18</f>
        <v>1.9966671396180804</v>
      </c>
      <c r="K50" s="362"/>
      <c r="L50" s="363">
        <f>J50/$J$100</f>
        <v>0.26984957315492281</v>
      </c>
      <c r="M50" s="389">
        <f>M36+M48</f>
        <v>1124524.75</v>
      </c>
      <c r="N50" s="66">
        <f t="shared" ref="N50" si="12">M50/$H$18</f>
        <v>1.9966671396180804</v>
      </c>
      <c r="O50" s="362"/>
    </row>
    <row r="52" spans="1:23">
      <c r="D52" s="11" t="s">
        <v>91</v>
      </c>
    </row>
    <row r="53" spans="1:23">
      <c r="C53" s="11" t="s">
        <v>90</v>
      </c>
      <c r="D53" s="11" t="s">
        <v>103</v>
      </c>
      <c r="I53" s="11" t="s">
        <v>50</v>
      </c>
      <c r="T53" s="169"/>
    </row>
    <row r="54" spans="1:23">
      <c r="A54" s="11" t="s">
        <v>89</v>
      </c>
    </row>
    <row r="55" spans="1:23">
      <c r="A55" s="11" t="s">
        <v>218</v>
      </c>
      <c r="C55" s="421">
        <f>'Estimacio increment IPC'!W9</f>
        <v>3.7573724664000001</v>
      </c>
      <c r="D55" s="116">
        <f>H18</f>
        <v>563200.91</v>
      </c>
      <c r="I55" s="21">
        <f>C55*D55</f>
        <v>2116155.5922854245</v>
      </c>
      <c r="J55" s="65">
        <f>I55/$H$18</f>
        <v>3.7573724663999997</v>
      </c>
      <c r="K55" s="21"/>
      <c r="L55" s="21"/>
      <c r="M55" s="66">
        <f t="shared" ref="M55:M58" si="13">I55</f>
        <v>2116155.5922854245</v>
      </c>
      <c r="N55" s="66">
        <f t="shared" ref="N55:N60" si="14">M55/$H$18</f>
        <v>3.7573724663999997</v>
      </c>
      <c r="O55" s="21"/>
      <c r="W55" s="169"/>
    </row>
    <row r="56" spans="1:23">
      <c r="A56" s="11" t="s">
        <v>219</v>
      </c>
      <c r="B56" s="390">
        <v>0.65</v>
      </c>
      <c r="C56" s="423">
        <f>C55*B56</f>
        <v>2.4422921031600002</v>
      </c>
      <c r="D56" s="116">
        <f>D55*B56</f>
        <v>366080.59150000004</v>
      </c>
      <c r="I56" s="21">
        <f>D56*C55</f>
        <v>1375501.1349855261</v>
      </c>
      <c r="J56" s="65">
        <f t="shared" ref="J56:J57" si="15">I56/$H$18</f>
        <v>2.4422921031600002</v>
      </c>
      <c r="K56" s="21"/>
      <c r="L56" s="21"/>
      <c r="M56" s="66"/>
      <c r="N56" s="66"/>
      <c r="O56" s="21"/>
      <c r="W56" s="169"/>
    </row>
    <row r="57" spans="1:23">
      <c r="A57" s="11" t="s">
        <v>220</v>
      </c>
      <c r="B57" s="390">
        <v>0.35</v>
      </c>
      <c r="C57" s="423">
        <f>C55*B57</f>
        <v>1.3150803632399999</v>
      </c>
      <c r="D57" s="116">
        <f>D55*B57</f>
        <v>197120.31849999999</v>
      </c>
      <c r="I57" s="21">
        <f>D57*C55</f>
        <v>740654.45729989849</v>
      </c>
      <c r="J57" s="65">
        <f t="shared" si="15"/>
        <v>1.3150803632399999</v>
      </c>
      <c r="K57" s="21"/>
      <c r="L57" s="21"/>
      <c r="M57" s="66"/>
      <c r="N57" s="66"/>
      <c r="O57" s="21"/>
      <c r="W57" s="169"/>
    </row>
    <row r="58" spans="1:23">
      <c r="A58" s="11" t="s">
        <v>221</v>
      </c>
      <c r="C58" s="422">
        <f>ROUND(PROPOSTA2023!C58*(1+'Estimacio increment IPC'!G9),2)</f>
        <v>0.13</v>
      </c>
      <c r="D58" s="116">
        <f>52*37*G18</f>
        <v>2562768</v>
      </c>
      <c r="E58" s="11">
        <f>D58/D55</f>
        <v>4.5503619658569088</v>
      </c>
      <c r="F58" s="11">
        <v>5.29</v>
      </c>
      <c r="G58" s="68"/>
      <c r="I58" s="21">
        <f>C58*D58</f>
        <v>333159.84000000003</v>
      </c>
      <c r="J58" s="65">
        <f>I58/$H$18</f>
        <v>0.59154705556139819</v>
      </c>
      <c r="K58" s="21"/>
      <c r="L58" s="21"/>
      <c r="M58" s="66">
        <f t="shared" si="13"/>
        <v>333159.84000000003</v>
      </c>
      <c r="N58" s="66">
        <f t="shared" si="14"/>
        <v>0.59154705556139819</v>
      </c>
      <c r="O58" s="21"/>
      <c r="Q58" s="11" t="s">
        <v>170</v>
      </c>
    </row>
    <row r="59" spans="1:23">
      <c r="A59" s="11" t="s">
        <v>92</v>
      </c>
      <c r="P59" s="11">
        <v>0.19</v>
      </c>
      <c r="Q59" s="11" t="s">
        <v>171</v>
      </c>
    </row>
    <row r="60" spans="1:23">
      <c r="A60" s="399" t="s">
        <v>93</v>
      </c>
      <c r="B60" s="400"/>
      <c r="C60" s="400"/>
      <c r="D60" s="400"/>
      <c r="E60" s="400"/>
      <c r="F60" s="400"/>
      <c r="G60" s="400"/>
      <c r="H60" s="400"/>
      <c r="I60" s="401">
        <f>I55+I58</f>
        <v>2449315.4322854243</v>
      </c>
      <c r="J60" s="401">
        <f>I60/$H$18</f>
        <v>4.3489195219613981</v>
      </c>
      <c r="K60" s="402"/>
      <c r="L60" s="363">
        <f>J60/$J$100</f>
        <v>0.58775649350891312</v>
      </c>
      <c r="M60" s="401">
        <f>M55+M58</f>
        <v>2449315.4322854243</v>
      </c>
      <c r="N60" s="66">
        <f t="shared" si="14"/>
        <v>4.3489195219613981</v>
      </c>
      <c r="O60" s="402"/>
    </row>
    <row r="61" spans="1:23">
      <c r="A61" s="403"/>
      <c r="B61" s="403"/>
      <c r="C61" s="403"/>
      <c r="D61" s="403"/>
      <c r="E61" s="403"/>
      <c r="F61" s="403"/>
      <c r="G61" s="403"/>
      <c r="H61" s="403"/>
      <c r="I61" s="404"/>
      <c r="J61" s="404"/>
      <c r="K61" s="404"/>
      <c r="L61" s="404"/>
      <c r="M61" s="404"/>
      <c r="N61" s="404"/>
      <c r="O61" s="404"/>
    </row>
    <row r="62" spans="1:23">
      <c r="C62" s="11" t="s">
        <v>90</v>
      </c>
      <c r="D62" s="11" t="s">
        <v>103</v>
      </c>
      <c r="E62" s="11" t="s">
        <v>131</v>
      </c>
      <c r="F62" s="11" t="s">
        <v>158</v>
      </c>
      <c r="G62" s="11" t="s">
        <v>159</v>
      </c>
      <c r="I62" s="11" t="s">
        <v>104</v>
      </c>
    </row>
    <row r="64" spans="1:23">
      <c r="A64" s="11" t="s">
        <v>111</v>
      </c>
      <c r="C64" s="140">
        <f>ROUND(PROPOSTA2023!C64*(1+'Estimacio increment IPC'!G9),2)</f>
        <v>26.36</v>
      </c>
      <c r="D64" s="96">
        <f>PROPOSTA2022!D64</f>
        <v>52</v>
      </c>
      <c r="E64" s="96"/>
      <c r="F64" s="96"/>
      <c r="G64" s="96"/>
      <c r="H64" s="96"/>
      <c r="I64" s="143">
        <f>C64*D64</f>
        <v>1370.72</v>
      </c>
      <c r="J64" s="65">
        <f>I64/$H$18</f>
        <v>2.4338028857233203E-3</v>
      </c>
      <c r="K64" s="64"/>
      <c r="L64" s="64"/>
      <c r="M64" s="66">
        <f t="shared" ref="M64:M84" si="16">I64</f>
        <v>1370.72</v>
      </c>
      <c r="N64" s="66">
        <f t="shared" ref="N64:N84" si="17">M64/$H$18</f>
        <v>2.4338028857233203E-3</v>
      </c>
      <c r="O64" s="64"/>
    </row>
    <row r="65" spans="1:19">
      <c r="A65" s="11" t="s">
        <v>100</v>
      </c>
      <c r="C65" s="140">
        <f>ROUND(PROPOSTA2023!C65*(1+'Estimacio increment IPC'!G9),2)</f>
        <v>817.24</v>
      </c>
      <c r="D65" s="96">
        <f>PROPOSTA2022!D65</f>
        <v>1</v>
      </c>
      <c r="E65" s="96"/>
      <c r="F65" s="96"/>
      <c r="G65" s="96"/>
      <c r="H65" s="96"/>
      <c r="I65" s="143">
        <f>C65</f>
        <v>817.24</v>
      </c>
      <c r="J65" s="65">
        <f>I65/$H$18</f>
        <v>1.4510629963293204E-3</v>
      </c>
      <c r="K65" s="64"/>
      <c r="L65" s="64"/>
      <c r="M65" s="66">
        <f t="shared" si="16"/>
        <v>817.24</v>
      </c>
      <c r="N65" s="66">
        <f t="shared" si="17"/>
        <v>1.4510629963293204E-3</v>
      </c>
      <c r="O65" s="64"/>
    </row>
    <row r="66" spans="1:19">
      <c r="A66" s="11" t="s">
        <v>129</v>
      </c>
      <c r="C66" s="140">
        <f>ROUND(PROPOSTA2023!C66*(1+'Estimacio increment IPC'!G9),2)</f>
        <v>121.27</v>
      </c>
      <c r="D66" s="96">
        <f>D21+D25</f>
        <v>17</v>
      </c>
      <c r="E66" s="96">
        <v>2</v>
      </c>
      <c r="F66" s="96"/>
      <c r="G66" s="96"/>
      <c r="H66" s="96"/>
      <c r="I66" s="143">
        <f>C66*D66*E66</f>
        <v>4123.18</v>
      </c>
      <c r="J66" s="65">
        <f>I66/$H$18</f>
        <v>7.3209753869183198E-3</v>
      </c>
      <c r="K66" s="64"/>
      <c r="L66" s="64"/>
      <c r="M66" s="66">
        <f t="shared" si="16"/>
        <v>4123.18</v>
      </c>
      <c r="N66" s="66">
        <f t="shared" si="17"/>
        <v>7.3209753869183198E-3</v>
      </c>
      <c r="O66" s="64"/>
      <c r="Q66" s="11" t="s">
        <v>132</v>
      </c>
      <c r="R66" s="11" t="s">
        <v>133</v>
      </c>
      <c r="S66" s="11" t="s">
        <v>134</v>
      </c>
    </row>
    <row r="67" spans="1:19">
      <c r="A67" s="11" t="s">
        <v>130</v>
      </c>
      <c r="C67" s="140">
        <f>ROUND(PROPOSTA2023!C67*(1+'Estimacio increment IPC'!G9),2)</f>
        <v>50.62</v>
      </c>
      <c r="D67" s="96">
        <f>D39+D40+D41</f>
        <v>6</v>
      </c>
      <c r="E67" s="96">
        <v>2</v>
      </c>
      <c r="F67" s="96"/>
      <c r="G67" s="96"/>
      <c r="H67" s="96"/>
      <c r="I67" s="143">
        <f>C67*D67*E67</f>
        <v>607.43999999999994</v>
      </c>
      <c r="J67" s="65">
        <f>I67/$H$18</f>
        <v>1.078549393679069E-3</v>
      </c>
      <c r="K67" s="64"/>
      <c r="L67" s="64"/>
      <c r="M67" s="66">
        <f t="shared" si="16"/>
        <v>607.43999999999994</v>
      </c>
      <c r="N67" s="66">
        <f t="shared" si="17"/>
        <v>1.078549393679069E-3</v>
      </c>
      <c r="O67" s="64"/>
      <c r="Q67" s="11" t="s">
        <v>132</v>
      </c>
      <c r="R67" s="11" t="s">
        <v>133</v>
      </c>
      <c r="S67" s="11" t="s">
        <v>134</v>
      </c>
    </row>
    <row r="68" spans="1:19">
      <c r="A68" s="11" t="s">
        <v>98</v>
      </c>
      <c r="C68" s="140"/>
      <c r="D68" s="96"/>
      <c r="E68" s="96"/>
      <c r="F68" s="96"/>
      <c r="G68" s="96"/>
      <c r="H68" s="96"/>
      <c r="I68" s="143"/>
      <c r="J68" s="64"/>
      <c r="K68" s="64"/>
      <c r="L68" s="64"/>
      <c r="M68" s="66"/>
      <c r="N68" s="66"/>
      <c r="O68" s="64"/>
    </row>
    <row r="69" spans="1:19">
      <c r="A69" s="67" t="s">
        <v>99</v>
      </c>
      <c r="C69" s="140">
        <f>ROUND(PROPOSTA2023!C69*(1+'Estimacio increment IPC'!G9),2)</f>
        <v>1107.23</v>
      </c>
      <c r="D69" s="96">
        <f>PROPOSTA2022!D69</f>
        <v>10</v>
      </c>
      <c r="E69" s="96">
        <v>12</v>
      </c>
      <c r="F69" s="96"/>
      <c r="G69" s="96"/>
      <c r="H69" s="96"/>
      <c r="I69" s="143">
        <f>C69*D69*12</f>
        <v>132867.59999999998</v>
      </c>
      <c r="J69" s="65">
        <f t="shared" ref="J69:J72" si="18">I69/$H$18</f>
        <v>0.23591510177069844</v>
      </c>
      <c r="K69" s="64"/>
      <c r="L69" s="64"/>
      <c r="M69" s="66">
        <f t="shared" si="16"/>
        <v>132867.59999999998</v>
      </c>
      <c r="N69" s="66">
        <f t="shared" si="17"/>
        <v>0.23591510177069844</v>
      </c>
      <c r="O69" s="64"/>
    </row>
    <row r="70" spans="1:19">
      <c r="A70" s="67" t="s">
        <v>105</v>
      </c>
      <c r="C70" s="140">
        <f>ROUND(PROPOSTA2023!C70*(1+'Estimacio increment IPC'!G9),2)</f>
        <v>1206.3499999999999</v>
      </c>
      <c r="D70" s="96">
        <f>PROPOSTA2022!D70</f>
        <v>10</v>
      </c>
      <c r="E70" s="96"/>
      <c r="F70" s="96"/>
      <c r="G70" s="96"/>
      <c r="H70" s="96"/>
      <c r="I70" s="143">
        <f t="shared" ref="I70" si="19">C70*D70</f>
        <v>12063.5</v>
      </c>
      <c r="J70" s="65">
        <f t="shared" si="18"/>
        <v>2.1419532152389453E-2</v>
      </c>
      <c r="K70" s="64"/>
      <c r="L70" s="64"/>
      <c r="M70" s="66">
        <f t="shared" si="16"/>
        <v>12063.5</v>
      </c>
      <c r="N70" s="66">
        <f t="shared" si="17"/>
        <v>2.1419532152389453E-2</v>
      </c>
      <c r="O70" s="64"/>
    </row>
    <row r="71" spans="1:19">
      <c r="A71" s="67" t="s">
        <v>95</v>
      </c>
      <c r="C71" s="140">
        <f>ROUND(PROPOSTA2023!C71*(1+'Estimacio increment IPC'!G9),2)</f>
        <v>110.72</v>
      </c>
      <c r="D71" s="96">
        <f>PROPOSTA2022!D71</f>
        <v>10</v>
      </c>
      <c r="E71" s="11">
        <f>365/5</f>
        <v>73</v>
      </c>
      <c r="F71" s="96">
        <f>((20*2)+15)*7*2</f>
        <v>770</v>
      </c>
      <c r="G71" s="96">
        <f>F71*D71*52</f>
        <v>400400</v>
      </c>
      <c r="H71" s="423">
        <f>(G71*9.1157751/100*2.1*(1+'Estimacio increment IPC'!G8)*(1+'Estimacio increment IPC'!G9))*'Estimacions apats i usuaris'!J28*'Estimacions apats i usuaris'!I28</f>
        <v>66435.950572955961</v>
      </c>
      <c r="I71" s="143">
        <f>C71*D71*E71</f>
        <v>80825.600000000006</v>
      </c>
      <c r="J71" s="65">
        <f t="shared" si="18"/>
        <v>0.14351113175580629</v>
      </c>
      <c r="K71" s="64"/>
      <c r="L71" s="64"/>
      <c r="M71" s="66">
        <f t="shared" si="16"/>
        <v>80825.600000000006</v>
      </c>
      <c r="N71" s="66">
        <f t="shared" si="17"/>
        <v>0.14351113175580629</v>
      </c>
      <c r="O71" s="64"/>
    </row>
    <row r="72" spans="1:19">
      <c r="A72" s="67" t="s">
        <v>154</v>
      </c>
      <c r="C72" s="140">
        <f>PROPOSTA2023!C72</f>
        <v>0.19</v>
      </c>
      <c r="D72" s="96">
        <f>PROPOSTA2022!D72</f>
        <v>52</v>
      </c>
      <c r="E72" s="96"/>
      <c r="F72" s="96">
        <f>((20*2)+15)*5</f>
        <v>275</v>
      </c>
      <c r="G72" s="96"/>
      <c r="H72" s="96"/>
      <c r="I72" s="143">
        <f>C72*D72*F72</f>
        <v>2717</v>
      </c>
      <c r="J72" s="65">
        <f t="shared" si="18"/>
        <v>4.824210955198918E-3</v>
      </c>
      <c r="K72" s="64"/>
      <c r="L72" s="64"/>
      <c r="M72" s="66">
        <f t="shared" si="16"/>
        <v>2717</v>
      </c>
      <c r="N72" s="66">
        <f t="shared" si="17"/>
        <v>4.824210955198918E-3</v>
      </c>
      <c r="O72" s="64"/>
      <c r="Q72" s="11" t="s">
        <v>109</v>
      </c>
    </row>
    <row r="73" spans="1:19">
      <c r="A73" s="94" t="s">
        <v>96</v>
      </c>
      <c r="B73" s="95"/>
      <c r="C73" s="140">
        <f>PROPOSTA2023!C73</f>
        <v>12.25</v>
      </c>
      <c r="D73" s="96">
        <f>PROPOSTA2022!D73</f>
        <v>125</v>
      </c>
      <c r="E73" s="96"/>
      <c r="F73" s="96"/>
      <c r="G73" s="96"/>
      <c r="H73" s="96"/>
      <c r="I73" s="143">
        <f>C73*D73</f>
        <v>1531.25</v>
      </c>
      <c r="J73" s="65">
        <f>I73/$H$18</f>
        <v>2.7188343854060888E-3</v>
      </c>
      <c r="K73" s="66"/>
      <c r="L73" s="66"/>
      <c r="M73" s="66">
        <f>I73</f>
        <v>1531.25</v>
      </c>
      <c r="N73" s="66">
        <f>M73/$H$18</f>
        <v>2.7188343854060888E-3</v>
      </c>
      <c r="O73" s="66"/>
      <c r="Q73" s="11" t="s">
        <v>108</v>
      </c>
    </row>
    <row r="74" spans="1:19">
      <c r="A74" s="11" t="s">
        <v>139</v>
      </c>
      <c r="C74" s="140">
        <v>0.1</v>
      </c>
      <c r="D74" s="115">
        <f>(G18*12)+G18</f>
        <v>17316</v>
      </c>
      <c r="E74" s="96"/>
      <c r="F74" s="96"/>
      <c r="G74" s="96"/>
      <c r="H74" s="96"/>
      <c r="I74" s="143">
        <f>D74*C74</f>
        <v>1731.6000000000001</v>
      </c>
      <c r="J74" s="65">
        <f>I74/$H$18</f>
        <v>3.074568895849263E-3</v>
      </c>
      <c r="K74" s="64"/>
      <c r="L74" s="64"/>
      <c r="M74" s="66">
        <f t="shared" si="16"/>
        <v>1731.6000000000001</v>
      </c>
      <c r="N74" s="66">
        <f t="shared" si="17"/>
        <v>3.074568895849263E-3</v>
      </c>
      <c r="O74" s="64"/>
      <c r="Q74" s="11" t="s">
        <v>138</v>
      </c>
    </row>
    <row r="75" spans="1:19">
      <c r="A75" s="11" t="s">
        <v>140</v>
      </c>
      <c r="C75" s="140">
        <f>PROPOSTA2023!C75</f>
        <v>0.02</v>
      </c>
      <c r="D75" s="116">
        <f>H18</f>
        <v>563200.91</v>
      </c>
      <c r="E75" s="96"/>
      <c r="F75" s="96"/>
      <c r="G75" s="96"/>
      <c r="H75" s="96"/>
      <c r="I75" s="143">
        <f>C75*D75</f>
        <v>11264.0182</v>
      </c>
      <c r="J75" s="65">
        <f>I75/$H$18</f>
        <v>0.02</v>
      </c>
      <c r="K75" s="64"/>
      <c r="L75" s="64"/>
      <c r="M75" s="66">
        <f t="shared" si="16"/>
        <v>11264.0182</v>
      </c>
      <c r="N75" s="66">
        <f t="shared" si="17"/>
        <v>0.02</v>
      </c>
      <c r="O75" s="64"/>
    </row>
    <row r="76" spans="1:19">
      <c r="A76" s="11" t="s">
        <v>106</v>
      </c>
      <c r="C76" s="140">
        <f>ROUND(PROPOSTA2023!C76*(1+'Estimacio increment IPC'!G9),2)</f>
        <v>0.84</v>
      </c>
      <c r="D76" s="96">
        <f>50*E76</f>
        <v>600</v>
      </c>
      <c r="E76" s="96">
        <v>12</v>
      </c>
      <c r="F76" s="96"/>
      <c r="G76" s="96"/>
      <c r="H76" s="96"/>
      <c r="I76" s="143">
        <f>C76*D76*E76</f>
        <v>6048</v>
      </c>
      <c r="J76" s="65">
        <f>I76/$H$18</f>
        <v>1.0738619012529649E-2</v>
      </c>
      <c r="K76" s="64"/>
      <c r="L76" s="64"/>
      <c r="M76" s="66">
        <f t="shared" si="16"/>
        <v>6048</v>
      </c>
      <c r="N76" s="66">
        <f t="shared" si="17"/>
        <v>1.0738619012529649E-2</v>
      </c>
      <c r="O76" s="64"/>
      <c r="Q76" s="11" t="s">
        <v>107</v>
      </c>
    </row>
    <row r="77" spans="1:19">
      <c r="A77" s="11" t="s">
        <v>142</v>
      </c>
      <c r="C77" s="140">
        <f>PROPOSTA2023!C77</f>
        <v>375</v>
      </c>
      <c r="D77" s="96">
        <f>PROPOSTA2022!D77</f>
        <v>1</v>
      </c>
      <c r="E77" s="395"/>
      <c r="F77" s="395"/>
      <c r="G77" s="96"/>
      <c r="H77" s="96"/>
      <c r="I77" s="143">
        <f>C77*D77</f>
        <v>375</v>
      </c>
      <c r="J77" s="65">
        <f t="shared" ref="J77:J85" si="20">I77/$H$18</f>
        <v>6.6583699234434824E-4</v>
      </c>
      <c r="K77" s="64"/>
      <c r="L77" s="64"/>
      <c r="M77" s="66">
        <f t="shared" si="16"/>
        <v>375</v>
      </c>
      <c r="N77" s="66">
        <f t="shared" si="17"/>
        <v>6.6583699234434824E-4</v>
      </c>
      <c r="O77" s="64"/>
    </row>
    <row r="78" spans="1:19">
      <c r="A78" s="11" t="s">
        <v>141</v>
      </c>
      <c r="C78" s="140">
        <f>ROUND(PROPOSTA2023!C78*(1+'Estimacio increment IPC'!G9),2)</f>
        <v>4956.1499999999996</v>
      </c>
      <c r="D78" s="96">
        <v>1</v>
      </c>
      <c r="E78" s="96"/>
      <c r="F78" s="96"/>
      <c r="G78" s="96"/>
      <c r="H78" s="96"/>
      <c r="I78" s="143">
        <f>C78</f>
        <v>4956.1499999999996</v>
      </c>
      <c r="J78" s="65">
        <f t="shared" si="20"/>
        <v>8.7999680256198431E-3</v>
      </c>
      <c r="K78" s="64"/>
      <c r="L78" s="64"/>
      <c r="M78" s="66">
        <f t="shared" si="16"/>
        <v>4956.1499999999996</v>
      </c>
      <c r="N78" s="66">
        <f t="shared" si="17"/>
        <v>8.7999680256198431E-3</v>
      </c>
      <c r="O78" s="64"/>
    </row>
    <row r="79" spans="1:19">
      <c r="A79" s="11" t="s">
        <v>97</v>
      </c>
      <c r="C79" s="140">
        <f>ROUND(PROPOSTA2023!C79*(1+'Estimacio increment IPC'!G9),2)</f>
        <v>1058.56</v>
      </c>
      <c r="D79" s="96"/>
      <c r="E79" s="96">
        <f>PROPOSTA2022!E79</f>
        <v>12</v>
      </c>
      <c r="F79" s="96"/>
      <c r="G79" s="96"/>
      <c r="H79" s="96"/>
      <c r="I79" s="143">
        <f>C79*E79</f>
        <v>12702.72</v>
      </c>
      <c r="J79" s="65">
        <f t="shared" si="20"/>
        <v>2.2554509011713065E-2</v>
      </c>
      <c r="K79" s="64"/>
      <c r="L79" s="64"/>
      <c r="M79" s="66">
        <f t="shared" si="16"/>
        <v>12702.72</v>
      </c>
      <c r="N79" s="66">
        <f t="shared" si="17"/>
        <v>2.2554509011713065E-2</v>
      </c>
      <c r="O79" s="64"/>
    </row>
    <row r="80" spans="1:19">
      <c r="A80" s="11" t="s">
        <v>229</v>
      </c>
      <c r="C80" s="142">
        <f>ROUND(PROPOSTA2023!C80*(1+'Estimacio increment IPC'!G9),2)</f>
        <v>29.73</v>
      </c>
      <c r="D80" s="116">
        <f>G18</f>
        <v>1332</v>
      </c>
      <c r="I80" s="142">
        <f>C80*D80</f>
        <v>39600.36</v>
      </c>
      <c r="J80" s="65">
        <f t="shared" si="20"/>
        <v>7.0313025595075823E-2</v>
      </c>
      <c r="K80" s="64"/>
      <c r="L80" s="64"/>
      <c r="M80" s="66">
        <f t="shared" si="16"/>
        <v>39600.36</v>
      </c>
      <c r="N80" s="66">
        <f t="shared" si="17"/>
        <v>7.0313025595075823E-2</v>
      </c>
      <c r="O80" s="64"/>
      <c r="Q80" s="11" t="s">
        <v>110</v>
      </c>
    </row>
    <row r="81" spans="1:22">
      <c r="A81" s="11" t="s">
        <v>101</v>
      </c>
      <c r="C81" s="140">
        <f>PROPOSTA2023!C81</f>
        <v>50</v>
      </c>
      <c r="D81" s="11">
        <f>D21+D25</f>
        <v>17</v>
      </c>
      <c r="I81" s="143">
        <f>C81*D81</f>
        <v>850</v>
      </c>
      <c r="J81" s="65">
        <f t="shared" si="20"/>
        <v>1.5092305159805227E-3</v>
      </c>
      <c r="K81" s="64"/>
      <c r="L81" s="64"/>
      <c r="M81" s="66">
        <f>I81</f>
        <v>850</v>
      </c>
      <c r="N81" s="66">
        <f t="shared" si="17"/>
        <v>1.5092305159805227E-3</v>
      </c>
      <c r="O81" s="64"/>
    </row>
    <row r="82" spans="1:22">
      <c r="A82" s="11" t="s">
        <v>102</v>
      </c>
      <c r="C82" s="140">
        <f>ROUND(PROPOSTA2023!C82*(1+'Estimacio increment IPC'!G9),2)</f>
        <v>17.16</v>
      </c>
      <c r="D82" s="11">
        <f>D81</f>
        <v>17</v>
      </c>
      <c r="E82" s="11">
        <v>12</v>
      </c>
      <c r="I82" s="143">
        <f>C82*E82*D82</f>
        <v>3500.6400000000003</v>
      </c>
      <c r="J82" s="65">
        <f t="shared" si="20"/>
        <v>6.2156149570141853E-3</v>
      </c>
      <c r="K82" s="64"/>
      <c r="L82" s="64"/>
      <c r="M82" s="66">
        <f t="shared" si="16"/>
        <v>3500.6400000000003</v>
      </c>
      <c r="N82" s="66">
        <f t="shared" si="17"/>
        <v>6.2156149570141853E-3</v>
      </c>
      <c r="O82" s="64"/>
      <c r="Q82" s="11" t="s">
        <v>169</v>
      </c>
    </row>
    <row r="83" spans="1:22">
      <c r="A83" s="11" t="s">
        <v>258</v>
      </c>
      <c r="C83" s="21"/>
      <c r="I83" s="245">
        <f>PROPOSTA2023!I83*(1+'Estimacio increment IPC'!G9)</f>
        <v>4568.9907942524997</v>
      </c>
      <c r="J83" s="65">
        <f t="shared" si="20"/>
        <v>8.1125415693175974E-3</v>
      </c>
      <c r="K83" s="64"/>
      <c r="L83" s="64"/>
      <c r="M83" s="66"/>
      <c r="N83" s="66"/>
      <c r="O83" s="64"/>
    </row>
    <row r="84" spans="1:22">
      <c r="A84" s="11" t="s">
        <v>259</v>
      </c>
      <c r="C84" s="21"/>
      <c r="I84" s="245">
        <v>20000</v>
      </c>
      <c r="J84" s="65">
        <f t="shared" si="20"/>
        <v>3.5511306258365238E-2</v>
      </c>
      <c r="K84" s="64"/>
      <c r="L84" s="64"/>
      <c r="M84" s="66">
        <f t="shared" si="16"/>
        <v>20000</v>
      </c>
      <c r="N84" s="66">
        <f t="shared" si="17"/>
        <v>3.5511306258365238E-2</v>
      </c>
      <c r="O84" s="64"/>
    </row>
    <row r="85" spans="1:22">
      <c r="A85" s="11" t="s">
        <v>260</v>
      </c>
      <c r="C85" s="21"/>
      <c r="I85" s="140">
        <f>ROUND(PROPOSTA2023!I85*(1+'Estimacio increment IPC'!G9),2)</f>
        <v>3891.11</v>
      </c>
      <c r="J85" s="65">
        <f t="shared" si="20"/>
        <v>6.9089199447493789E-3</v>
      </c>
      <c r="K85" s="64"/>
      <c r="L85" s="64"/>
      <c r="M85" s="66"/>
      <c r="N85" s="66"/>
      <c r="O85" s="64"/>
    </row>
    <row r="86" spans="1:22" ht="15" thickBot="1">
      <c r="T86" s="168"/>
      <c r="V86" s="168"/>
    </row>
    <row r="87" spans="1:22" ht="15" thickBot="1">
      <c r="A87" s="405" t="s">
        <v>94</v>
      </c>
      <c r="B87" s="406"/>
      <c r="C87" s="406"/>
      <c r="D87" s="406"/>
      <c r="E87" s="406"/>
      <c r="F87" s="406"/>
      <c r="G87" s="406"/>
      <c r="H87" s="406"/>
      <c r="I87" s="407">
        <f>SUM(I64:I85)</f>
        <v>346412.11899425241</v>
      </c>
      <c r="J87" s="407">
        <f>I87/$H$18</f>
        <v>0.615077342460708</v>
      </c>
      <c r="K87" s="402"/>
      <c r="L87" s="363">
        <f>J87/$J$100</f>
        <v>8.3127705678591193E-2</v>
      </c>
      <c r="M87" s="407">
        <f>SUM(M64:M84)</f>
        <v>337952.01819999993</v>
      </c>
      <c r="N87" s="407">
        <f>M87/$H$18</f>
        <v>0.60005588094664108</v>
      </c>
      <c r="O87" s="402"/>
    </row>
    <row r="88" spans="1:22" ht="15" thickBot="1"/>
    <row r="89" spans="1:22" ht="15" thickBot="1">
      <c r="A89" s="405" t="s">
        <v>83</v>
      </c>
      <c r="B89" s="406"/>
      <c r="C89" s="406"/>
      <c r="D89" s="406"/>
      <c r="E89" s="406"/>
      <c r="F89" s="406"/>
      <c r="G89" s="406"/>
      <c r="H89" s="406"/>
      <c r="I89" s="407">
        <f>I60+I87</f>
        <v>2795727.5512796766</v>
      </c>
      <c r="J89" s="407">
        <f>I89/$H$18</f>
        <v>4.9639968644221053</v>
      </c>
      <c r="K89" s="402"/>
      <c r="L89" s="363">
        <f>J89/$J$100</f>
        <v>0.67088419918750419</v>
      </c>
      <c r="M89" s="407">
        <f>M60+M87</f>
        <v>2787267.4504854241</v>
      </c>
      <c r="N89" s="407">
        <f>M89/$H$18</f>
        <v>4.9489754029080384</v>
      </c>
      <c r="O89" s="402"/>
    </row>
    <row r="90" spans="1:22" ht="15" thickBot="1"/>
    <row r="91" spans="1:22" ht="15" thickBot="1">
      <c r="A91" s="408" t="s">
        <v>84</v>
      </c>
      <c r="B91" s="409"/>
      <c r="C91" s="409"/>
      <c r="D91" s="409"/>
      <c r="E91" s="409"/>
      <c r="F91" s="409"/>
      <c r="G91" s="409"/>
      <c r="H91" s="409"/>
      <c r="I91" s="410">
        <f>I50+I89</f>
        <v>3920252.3012796766</v>
      </c>
      <c r="J91" s="410">
        <f>I91/$H$18</f>
        <v>6.9606640040401855</v>
      </c>
      <c r="K91" s="411"/>
      <c r="L91" s="363">
        <f>J91/$J$100</f>
        <v>0.94073377234242694</v>
      </c>
      <c r="M91" s="410">
        <f>M50+M89</f>
        <v>3911792.2004854241</v>
      </c>
      <c r="N91" s="410">
        <f>M91/$H$18</f>
        <v>6.9456425425261186</v>
      </c>
      <c r="O91" s="411"/>
    </row>
    <row r="93" spans="1:22">
      <c r="A93" s="349" t="s">
        <v>157</v>
      </c>
    </row>
    <row r="94" spans="1:22" ht="87">
      <c r="A94" s="412" t="s">
        <v>222</v>
      </c>
      <c r="B94" s="268">
        <f>PROPOSTA2023!B94</f>
        <v>2.5000000000000001E-2</v>
      </c>
      <c r="I94" s="66">
        <f>I91*B94</f>
        <v>98006.307531991915</v>
      </c>
      <c r="J94" s="65">
        <f>I94/$H$18</f>
        <v>0.17401660010100464</v>
      </c>
      <c r="K94" s="66"/>
      <c r="L94" s="363">
        <f>J94/$J$100</f>
        <v>2.3518344308560674E-2</v>
      </c>
      <c r="M94" s="66">
        <f>I94</f>
        <v>98006.307531991915</v>
      </c>
      <c r="N94" s="66">
        <f t="shared" ref="N94:N104" si="21">M94/$H$18</f>
        <v>0.17401660010100464</v>
      </c>
      <c r="O94" s="66"/>
    </row>
    <row r="96" spans="1:22">
      <c r="A96" s="96" t="s">
        <v>223</v>
      </c>
      <c r="B96" s="268">
        <v>3.7999999999999999E-2</v>
      </c>
      <c r="C96" s="96"/>
      <c r="D96" s="96"/>
      <c r="E96" s="96"/>
      <c r="F96" s="96"/>
      <c r="G96" s="96"/>
      <c r="H96" s="96" t="s">
        <v>172</v>
      </c>
      <c r="I96" s="167">
        <f>I91*B96</f>
        <v>148969.58744862772</v>
      </c>
      <c r="J96" s="396">
        <f>I96/$H$18</f>
        <v>0.26450523215352706</v>
      </c>
      <c r="K96" s="66"/>
      <c r="L96" s="363">
        <f>J96/$J$100</f>
        <v>3.574788334901223E-2</v>
      </c>
      <c r="M96" s="66">
        <f>I96</f>
        <v>148969.58744862772</v>
      </c>
      <c r="N96" s="66">
        <f t="shared" si="21"/>
        <v>0.26450523215352706</v>
      </c>
      <c r="O96" s="66"/>
    </row>
    <row r="97" spans="1:15" ht="15" thickBot="1">
      <c r="N97" s="66"/>
    </row>
    <row r="98" spans="1:15" ht="15" thickBot="1">
      <c r="A98" s="413" t="s">
        <v>85</v>
      </c>
      <c r="B98" s="414"/>
      <c r="C98" s="414"/>
      <c r="D98" s="414"/>
      <c r="E98" s="414"/>
      <c r="F98" s="414"/>
      <c r="G98" s="414"/>
      <c r="H98" s="414"/>
      <c r="I98" s="415">
        <f>I94+I96</f>
        <v>246975.89498061963</v>
      </c>
      <c r="J98" s="415">
        <f>I98/$H$18</f>
        <v>0.43852183225453173</v>
      </c>
      <c r="K98" s="65"/>
      <c r="L98" s="363">
        <f>J98/$J$100</f>
        <v>5.9266227657572904E-2</v>
      </c>
      <c r="M98" s="415">
        <f>M94+M96</f>
        <v>246975.89498061963</v>
      </c>
      <c r="N98" s="66">
        <f t="shared" si="21"/>
        <v>0.43852183225453173</v>
      </c>
      <c r="O98" s="65"/>
    </row>
    <row r="99" spans="1:15" ht="15" thickBot="1">
      <c r="N99" s="66"/>
    </row>
    <row r="100" spans="1:15" ht="15" thickBot="1">
      <c r="A100" s="413" t="s">
        <v>86</v>
      </c>
      <c r="B100" s="414"/>
      <c r="C100" s="414"/>
      <c r="D100" s="414"/>
      <c r="E100" s="414"/>
      <c r="F100" s="414"/>
      <c r="G100" s="414"/>
      <c r="H100" s="414"/>
      <c r="I100" s="415">
        <f>I91+I98</f>
        <v>4167228.1962602963</v>
      </c>
      <c r="J100" s="416">
        <f>I100/$H$18</f>
        <v>7.399185836294718</v>
      </c>
      <c r="K100" s="65"/>
      <c r="L100" s="363">
        <f>J100/$J$100</f>
        <v>1</v>
      </c>
      <c r="M100" s="415">
        <f>M91+M98</f>
        <v>4158768.0954660438</v>
      </c>
      <c r="N100" s="66">
        <f t="shared" si="21"/>
        <v>7.3841643747806511</v>
      </c>
      <c r="O100" s="65"/>
    </row>
    <row r="101" spans="1:15">
      <c r="H101" s="66"/>
      <c r="I101" s="66"/>
      <c r="N101" s="66"/>
    </row>
    <row r="102" spans="1:15">
      <c r="A102" s="403" t="s">
        <v>87</v>
      </c>
      <c r="B102" s="418">
        <v>0.1</v>
      </c>
      <c r="C102" s="403"/>
      <c r="D102" s="403"/>
      <c r="E102" s="403"/>
      <c r="F102" s="403"/>
      <c r="G102" s="403"/>
      <c r="H102" s="403"/>
      <c r="I102" s="65">
        <f>I100*B102</f>
        <v>416722.81962602964</v>
      </c>
      <c r="J102" s="65">
        <f>I102/$H$18</f>
        <v>0.73991858362947183</v>
      </c>
      <c r="K102" s="65"/>
      <c r="L102" s="65"/>
      <c r="M102" s="65">
        <f>M100*B102</f>
        <v>415876.8095466044</v>
      </c>
      <c r="N102" s="66">
        <f t="shared" si="21"/>
        <v>0.73841643747806507</v>
      </c>
      <c r="O102" s="65"/>
    </row>
    <row r="103" spans="1:15" ht="15" thickBot="1">
      <c r="N103" s="66"/>
    </row>
    <row r="104" spans="1:15" ht="15" thickBot="1">
      <c r="A104" s="413" t="s">
        <v>88</v>
      </c>
      <c r="B104" s="414"/>
      <c r="C104" s="414"/>
      <c r="D104" s="414"/>
      <c r="E104" s="414"/>
      <c r="F104" s="414"/>
      <c r="G104" s="414"/>
      <c r="H104" s="414"/>
      <c r="I104" s="415">
        <f>I100+I102+0.005</f>
        <v>4583951.0208863262</v>
      </c>
      <c r="J104" s="415">
        <f>I104/$H$18</f>
        <v>8.1391044288020158</v>
      </c>
      <c r="K104" s="65"/>
      <c r="L104" s="363">
        <f>J104/$J$100</f>
        <v>1.1000000011998383</v>
      </c>
      <c r="M104" s="415">
        <f>M100+M102</f>
        <v>4574644.9050126486</v>
      </c>
      <c r="N104" s="66">
        <f t="shared" si="21"/>
        <v>8.1225808122587164</v>
      </c>
      <c r="O104" s="65"/>
    </row>
  </sheetData>
  <mergeCells count="11">
    <mergeCell ref="C10:E10"/>
    <mergeCell ref="C11:E11"/>
    <mergeCell ref="C12:E12"/>
    <mergeCell ref="C13:E13"/>
    <mergeCell ref="B9:C9"/>
    <mergeCell ref="D9:E9"/>
    <mergeCell ref="B5:E5"/>
    <mergeCell ref="I5:L5"/>
    <mergeCell ref="D6:E6"/>
    <mergeCell ref="D7:E7"/>
    <mergeCell ref="D8:E8"/>
  </mergeCells>
  <pageMargins left="0.7" right="0.7" top="0.75" bottom="0.75" header="0.3" footer="0.3"/>
  <pageSetup paperSize="8" fitToHeight="0" orientation="landscape" r:id="rId1"/>
  <customProperties>
    <customPr name="EpmWorksheetKeyString_GUID" r:id="rId2"/>
  </customProperties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W104"/>
  <sheetViews>
    <sheetView topLeftCell="A18" zoomScaleNormal="100" workbookViewId="0">
      <selection activeCell="B39" sqref="B39:B41"/>
    </sheetView>
  </sheetViews>
  <sheetFormatPr defaultColWidth="8.7265625" defaultRowHeight="14.5"/>
  <cols>
    <col min="1" max="1" width="45.1796875" style="11" customWidth="1"/>
    <col min="2" max="2" width="9.453125" style="11" bestFit="1" customWidth="1"/>
    <col min="3" max="3" width="13.1796875" style="11" bestFit="1" customWidth="1"/>
    <col min="4" max="4" width="10.7265625" style="11" customWidth="1"/>
    <col min="5" max="5" width="16.453125" style="11" bestFit="1" customWidth="1"/>
    <col min="6" max="6" width="15.1796875" style="11" bestFit="1" customWidth="1"/>
    <col min="7" max="7" width="16.7265625" style="11" bestFit="1" customWidth="1"/>
    <col min="8" max="8" width="22.54296875" style="11" bestFit="1" customWidth="1"/>
    <col min="9" max="9" width="17.7265625" style="11" bestFit="1" customWidth="1"/>
    <col min="10" max="10" width="13.81640625" style="11" bestFit="1" customWidth="1"/>
    <col min="11" max="11" width="16.26953125" style="11" bestFit="1" customWidth="1"/>
    <col min="12" max="12" width="8.1796875" style="11" bestFit="1" customWidth="1"/>
    <col min="13" max="13" width="16.26953125" style="11" customWidth="1"/>
    <col min="14" max="14" width="17.453125" style="11" bestFit="1" customWidth="1"/>
    <col min="15" max="15" width="14.7265625" style="11" customWidth="1"/>
    <col min="16" max="16" width="7.26953125" style="11" bestFit="1" customWidth="1"/>
    <col min="17" max="19" width="8.7265625" style="11"/>
    <col min="20" max="21" width="9.54296875" style="11" bestFit="1" customWidth="1"/>
    <col min="22" max="22" width="8.7265625" style="11"/>
    <col min="23" max="23" width="9.54296875" style="11" bestFit="1" customWidth="1"/>
    <col min="24" max="16384" width="8.7265625" style="11"/>
  </cols>
  <sheetData>
    <row r="1" spans="1:14" ht="21">
      <c r="A1" s="366" t="s">
        <v>200</v>
      </c>
      <c r="B1" s="366"/>
      <c r="C1" s="366"/>
      <c r="D1" s="366"/>
      <c r="E1" s="367"/>
      <c r="F1" s="367"/>
      <c r="G1" s="366"/>
      <c r="H1" s="366"/>
    </row>
    <row r="2" spans="1:14">
      <c r="A2" s="100">
        <v>2025</v>
      </c>
      <c r="B2" s="100"/>
      <c r="C2" s="100"/>
      <c r="D2" s="100"/>
      <c r="E2" s="101"/>
      <c r="F2" s="101"/>
      <c r="G2" s="100"/>
      <c r="H2" s="100"/>
    </row>
    <row r="3" spans="1:14">
      <c r="A3" s="368" t="s">
        <v>173</v>
      </c>
      <c r="B3" s="100"/>
      <c r="C3" s="100"/>
      <c r="D3" s="100"/>
      <c r="E3" s="101"/>
      <c r="F3" s="101"/>
      <c r="G3" s="100"/>
      <c r="H3" s="100"/>
    </row>
    <row r="4" spans="1:14">
      <c r="A4" s="100"/>
      <c r="B4" s="100"/>
      <c r="C4" s="100"/>
      <c r="D4" s="100"/>
      <c r="E4" s="101"/>
      <c r="F4" s="101"/>
      <c r="G4" s="100"/>
      <c r="H4" s="100"/>
    </row>
    <row r="5" spans="1:14" ht="60">
      <c r="A5" s="102" t="s">
        <v>174</v>
      </c>
      <c r="B5" s="540" t="s">
        <v>201</v>
      </c>
      <c r="C5" s="540"/>
      <c r="D5" s="540"/>
      <c r="E5" s="540"/>
      <c r="F5" s="103"/>
      <c r="G5" s="107" t="s">
        <v>186</v>
      </c>
      <c r="H5" s="369" t="s">
        <v>331</v>
      </c>
      <c r="I5" s="531" t="s">
        <v>330</v>
      </c>
      <c r="J5" s="532"/>
      <c r="K5" s="532"/>
      <c r="L5" s="533"/>
      <c r="M5" s="100"/>
      <c r="N5" s="100"/>
    </row>
    <row r="6" spans="1:14" ht="16.5">
      <c r="A6" s="102"/>
      <c r="B6" s="370" t="s">
        <v>175</v>
      </c>
      <c r="C6" s="370" t="s">
        <v>176</v>
      </c>
      <c r="D6" s="541" t="s">
        <v>177</v>
      </c>
      <c r="E6" s="542"/>
      <c r="F6" s="103"/>
      <c r="G6" s="102" t="s">
        <v>187</v>
      </c>
      <c r="H6" s="371">
        <f>PROPOSTA2022!H6</f>
        <v>8</v>
      </c>
      <c r="I6" s="372"/>
      <c r="J6" s="108"/>
      <c r="K6" s="108"/>
      <c r="L6" s="108"/>
      <c r="M6" s="108"/>
      <c r="N6" s="108"/>
    </row>
    <row r="7" spans="1:14">
      <c r="A7" s="373" t="s">
        <v>178</v>
      </c>
      <c r="B7" s="374">
        <v>45352</v>
      </c>
      <c r="C7" s="374">
        <v>46081</v>
      </c>
      <c r="D7" s="541">
        <v>2</v>
      </c>
      <c r="E7" s="542"/>
      <c r="F7" s="103"/>
      <c r="G7" s="102" t="s">
        <v>188</v>
      </c>
      <c r="H7" s="371">
        <f>PROPOSTA2022!H7</f>
        <v>40</v>
      </c>
      <c r="I7" s="104" t="s">
        <v>189</v>
      </c>
      <c r="J7" s="104" t="s">
        <v>190</v>
      </c>
      <c r="K7" s="104" t="s">
        <v>191</v>
      </c>
      <c r="L7" s="104" t="s">
        <v>192</v>
      </c>
      <c r="M7" s="104" t="s">
        <v>193</v>
      </c>
      <c r="N7" s="104" t="s">
        <v>194</v>
      </c>
    </row>
    <row r="8" spans="1:14">
      <c r="A8" s="373" t="s">
        <v>179</v>
      </c>
      <c r="B8" s="374">
        <v>46082</v>
      </c>
      <c r="C8" s="374">
        <v>46812</v>
      </c>
      <c r="D8" s="541">
        <v>2</v>
      </c>
      <c r="E8" s="542"/>
      <c r="F8" s="103"/>
      <c r="G8" s="102" t="s">
        <v>195</v>
      </c>
      <c r="H8" s="371" t="e">
        <f>N8</f>
        <v>#REF!</v>
      </c>
      <c r="I8" s="371" t="e">
        <f>#REF!</f>
        <v>#REF!</v>
      </c>
      <c r="J8" s="371" t="e">
        <f>#REF!</f>
        <v>#REF!</v>
      </c>
      <c r="K8" s="371" t="e">
        <f>#REF!</f>
        <v>#REF!</v>
      </c>
      <c r="L8" s="371" t="e">
        <f>#REF!</f>
        <v>#REF!</v>
      </c>
      <c r="M8" s="377" t="e">
        <f>#REF!</f>
        <v>#REF!</v>
      </c>
      <c r="N8" s="371" t="e">
        <f>I8-J8-K8-L8-M8</f>
        <v>#REF!</v>
      </c>
    </row>
    <row r="9" spans="1:14">
      <c r="A9" s="373" t="s">
        <v>50</v>
      </c>
      <c r="B9" s="543"/>
      <c r="C9" s="544"/>
      <c r="D9" s="541">
        <f>SUM(D7:D8)</f>
        <v>4</v>
      </c>
      <c r="E9" s="542"/>
      <c r="F9" s="103"/>
      <c r="G9" s="102" t="s">
        <v>196</v>
      </c>
      <c r="H9" s="371" t="e">
        <f>H6*H8</f>
        <v>#REF!</v>
      </c>
      <c r="I9" s="356"/>
      <c r="J9" s="100"/>
      <c r="K9" s="101"/>
      <c r="L9" s="101"/>
      <c r="M9" s="100"/>
      <c r="N9" s="100"/>
    </row>
    <row r="10" spans="1:14">
      <c r="A10" s="379" t="s">
        <v>180</v>
      </c>
      <c r="B10" s="380">
        <f>PROPOSTA2022!B10</f>
        <v>1</v>
      </c>
      <c r="C10" s="536"/>
      <c r="D10" s="536"/>
      <c r="E10" s="536"/>
      <c r="F10" s="103"/>
      <c r="G10" s="102" t="s">
        <v>197</v>
      </c>
      <c r="H10" s="371">
        <f>PROPOSTA2022!H10</f>
        <v>1791</v>
      </c>
      <c r="I10" s="534"/>
      <c r="J10" s="535"/>
      <c r="K10" s="535"/>
      <c r="L10" s="535"/>
      <c r="M10" s="535"/>
      <c r="N10" s="535"/>
    </row>
    <row r="11" spans="1:14" ht="15.5">
      <c r="A11" s="373" t="s">
        <v>181</v>
      </c>
      <c r="B11" s="381" t="str">
        <f>PROPOSTA2022!B11</f>
        <v>LOT 1</v>
      </c>
      <c r="C11" s="537" t="str">
        <f>PROPOSTA2022!C11</f>
        <v>SERVEI D'ÀPATS A DOMICILI</v>
      </c>
      <c r="D11" s="538"/>
      <c r="E11" s="539"/>
      <c r="F11" s="103"/>
      <c r="G11" s="356"/>
      <c r="H11" s="356"/>
      <c r="I11" s="356"/>
      <c r="J11" s="356"/>
      <c r="K11" s="356"/>
      <c r="L11" s="356"/>
      <c r="M11" s="356"/>
      <c r="N11" s="356"/>
    </row>
    <row r="12" spans="1:14" ht="15" thickBot="1">
      <c r="A12" s="102" t="s">
        <v>183</v>
      </c>
      <c r="B12" s="380">
        <f>PROPOSTA2022!B12</f>
        <v>7</v>
      </c>
      <c r="C12" s="530" t="str">
        <f>PROPOSTA2022!C12</f>
        <v>De dilluns a diumenge</v>
      </c>
      <c r="D12" s="530"/>
      <c r="E12" s="530"/>
      <c r="F12" s="103"/>
      <c r="G12" s="105" t="s">
        <v>198</v>
      </c>
      <c r="H12" s="109"/>
      <c r="I12" s="356"/>
      <c r="J12" s="356"/>
      <c r="K12" s="356"/>
      <c r="L12" s="356"/>
      <c r="M12" s="110"/>
      <c r="N12" s="356"/>
    </row>
    <row r="13" spans="1:14" ht="15" thickBot="1">
      <c r="A13" s="102" t="s">
        <v>185</v>
      </c>
      <c r="B13" s="380">
        <f>PROPOSTA2022!B13</f>
        <v>365</v>
      </c>
      <c r="C13" s="530" t="str">
        <f>PROPOSTA2022!C13</f>
        <v>De dilluns a diumenge</v>
      </c>
      <c r="D13" s="530"/>
      <c r="E13" s="530"/>
      <c r="F13" s="103"/>
      <c r="G13" s="111" t="s">
        <v>199</v>
      </c>
      <c r="H13" s="112">
        <f>'Original subrogació 2022'!I1</f>
        <v>0.32500000000000001</v>
      </c>
      <c r="I13" s="356"/>
      <c r="J13" s="100"/>
      <c r="K13" s="101"/>
      <c r="L13" s="101"/>
      <c r="M13" s="100"/>
      <c r="N13" s="100"/>
    </row>
    <row r="14" spans="1:14">
      <c r="A14" s="105"/>
      <c r="B14" s="356"/>
      <c r="C14" s="356"/>
      <c r="D14" s="106"/>
      <c r="E14" s="106"/>
      <c r="F14" s="106"/>
      <c r="G14" s="100"/>
      <c r="H14" s="100"/>
    </row>
    <row r="15" spans="1:14">
      <c r="M15" s="349" t="s">
        <v>145</v>
      </c>
      <c r="N15" s="349"/>
    </row>
    <row r="16" spans="1:14">
      <c r="G16" s="11" t="s">
        <v>155</v>
      </c>
      <c r="H16" s="11" t="s">
        <v>146</v>
      </c>
      <c r="I16" s="349" t="s">
        <v>148</v>
      </c>
      <c r="J16" s="349" t="s">
        <v>150</v>
      </c>
      <c r="K16" s="349" t="s">
        <v>143</v>
      </c>
      <c r="L16" s="349"/>
      <c r="M16" s="349" t="s">
        <v>151</v>
      </c>
      <c r="N16" s="349" t="s">
        <v>153</v>
      </c>
    </row>
    <row r="17" spans="1:15">
      <c r="G17" s="11" t="s">
        <v>156</v>
      </c>
      <c r="H17" s="11" t="s">
        <v>147</v>
      </c>
      <c r="I17" s="349" t="s">
        <v>149</v>
      </c>
      <c r="J17" s="349" t="s">
        <v>149</v>
      </c>
      <c r="K17" s="349" t="s">
        <v>144</v>
      </c>
      <c r="L17" s="349" t="s">
        <v>72</v>
      </c>
      <c r="M17" s="349" t="s">
        <v>152</v>
      </c>
      <c r="N17" s="349" t="s">
        <v>152</v>
      </c>
    </row>
    <row r="18" spans="1:15">
      <c r="G18" s="116">
        <f>'Estimacions apats i usuaris'!K34</f>
        <v>1372</v>
      </c>
      <c r="H18" s="116">
        <f>'Estimacions apats i usuaris'!K32</f>
        <v>580096.93729999999</v>
      </c>
    </row>
    <row r="19" spans="1:15" ht="29">
      <c r="B19" s="11" t="s">
        <v>112</v>
      </c>
      <c r="C19" s="11" t="s">
        <v>78</v>
      </c>
      <c r="D19" s="412" t="s">
        <v>79</v>
      </c>
      <c r="E19" s="11" t="s">
        <v>80</v>
      </c>
      <c r="F19" s="11" t="s">
        <v>63</v>
      </c>
      <c r="G19" s="11" t="s">
        <v>66</v>
      </c>
      <c r="H19" s="11" t="s">
        <v>81</v>
      </c>
      <c r="I19" s="11" t="s">
        <v>50</v>
      </c>
    </row>
    <row r="20" spans="1:15">
      <c r="A20" s="349" t="s">
        <v>73</v>
      </c>
    </row>
    <row r="21" spans="1:15">
      <c r="A21" s="11" t="s">
        <v>204</v>
      </c>
      <c r="B21" s="268">
        <f>'Despeses Personal 2023'!AA8</f>
        <v>1</v>
      </c>
      <c r="C21" s="347" t="e">
        <f>$H$9*D21</f>
        <v>#REF!</v>
      </c>
      <c r="D21" s="11">
        <f>PROPOSTA2024!D21</f>
        <v>16</v>
      </c>
      <c r="E21" s="420">
        <f>ROUND(PROPOSTA2024!E21*(1+PROPOSTA2024!$B$31),2)</f>
        <v>357473.65</v>
      </c>
      <c r="F21" s="420">
        <f>ROUND(E21*$H$13,2)</f>
        <v>116178.94</v>
      </c>
      <c r="G21" s="420">
        <f>E21+F21</f>
        <v>473652.59</v>
      </c>
      <c r="H21" s="420">
        <f>ROUND(G21/14,2)</f>
        <v>33832.33</v>
      </c>
      <c r="I21" s="420">
        <f>G21+H21</f>
        <v>507484.92000000004</v>
      </c>
      <c r="J21" s="358">
        <f>I21/$H$18</f>
        <v>0.87482778716611587</v>
      </c>
      <c r="K21" s="66"/>
      <c r="L21" s="66"/>
      <c r="M21" s="66">
        <f>I21</f>
        <v>507484.92000000004</v>
      </c>
      <c r="N21" s="66">
        <f>M21/$H$18</f>
        <v>0.87482778716611587</v>
      </c>
      <c r="O21" s="66"/>
    </row>
    <row r="22" spans="1:15">
      <c r="A22" s="11" t="s">
        <v>205</v>
      </c>
      <c r="B22" s="268">
        <f>'Despeses Personal 2023'!AA5</f>
        <v>0.91666666666666674</v>
      </c>
      <c r="C22" s="347" t="e">
        <f>$H$9*D22</f>
        <v>#REF!</v>
      </c>
      <c r="D22" s="11">
        <f>PROPOSTA2024!D22</f>
        <v>6</v>
      </c>
      <c r="E22" s="420">
        <f>ROUND(PROPOSTA2024!E22*(1+PROPOSTA2024!$B$31),2)</f>
        <v>112088.55</v>
      </c>
      <c r="F22" s="420">
        <f>ROUND(E22*$H$13,2)</f>
        <v>36428.78</v>
      </c>
      <c r="G22" s="420">
        <f>E22+F22</f>
        <v>148517.33000000002</v>
      </c>
      <c r="H22" s="420">
        <f>ROUND(G22/14,2)</f>
        <v>10608.38</v>
      </c>
      <c r="I22" s="420">
        <f>G22+H22</f>
        <v>159125.71000000002</v>
      </c>
      <c r="J22" s="358">
        <f t="shared" ref="J22:J40" si="0">I22/$H$18</f>
        <v>0.2743088262810589</v>
      </c>
      <c r="K22" s="66"/>
      <c r="L22" s="66"/>
      <c r="M22" s="66">
        <f t="shared" ref="M22:M33" si="1">I22</f>
        <v>159125.71000000002</v>
      </c>
      <c r="N22" s="66">
        <f t="shared" ref="N22:N36" si="2">M22/$H$18</f>
        <v>0.2743088262810589</v>
      </c>
      <c r="O22" s="66"/>
    </row>
    <row r="23" spans="1:15">
      <c r="C23" s="347"/>
      <c r="E23" s="420"/>
      <c r="F23" s="357"/>
      <c r="G23" s="357"/>
      <c r="H23" s="357"/>
      <c r="I23" s="357"/>
      <c r="J23" s="357"/>
      <c r="K23" s="66"/>
      <c r="L23" s="66"/>
      <c r="M23" s="66"/>
      <c r="N23" s="66"/>
      <c r="O23" s="66"/>
    </row>
    <row r="24" spans="1:15">
      <c r="A24" s="349" t="s">
        <v>74</v>
      </c>
      <c r="C24" s="347"/>
      <c r="E24" s="420"/>
      <c r="F24" s="357"/>
      <c r="G24" s="357"/>
      <c r="H24" s="357"/>
      <c r="I24" s="357"/>
      <c r="J24" s="357"/>
      <c r="M24" s="66"/>
      <c r="N24" s="66"/>
    </row>
    <row r="25" spans="1:15">
      <c r="A25" s="11" t="s">
        <v>206</v>
      </c>
      <c r="B25" s="268">
        <f>'Despeses Personal 2023'!AA10</f>
        <v>1</v>
      </c>
      <c r="C25" s="347" t="e">
        <f>$H$9*D25</f>
        <v>#REF!</v>
      </c>
      <c r="D25" s="11">
        <f>PROPOSTA2024!D25</f>
        <v>1</v>
      </c>
      <c r="E25" s="420">
        <f>ROUND(PROPOSTA2024!E25*(1+PROPOSTA2024!$B$31),2)</f>
        <v>24381.27</v>
      </c>
      <c r="F25" s="420">
        <f>ROUND(E25*$H$13,2)</f>
        <v>7923.91</v>
      </c>
      <c r="G25" s="420">
        <f>E25+F25</f>
        <v>32305.18</v>
      </c>
      <c r="H25" s="420">
        <f>ROUND(G25/14,2)</f>
        <v>2307.5100000000002</v>
      </c>
      <c r="I25" s="420">
        <f>G25+H25</f>
        <v>34612.69</v>
      </c>
      <c r="J25" s="358">
        <f t="shared" si="0"/>
        <v>5.9667079369701753E-2</v>
      </c>
      <c r="K25" s="66"/>
      <c r="L25" s="66"/>
      <c r="M25" s="66">
        <f t="shared" si="1"/>
        <v>34612.69</v>
      </c>
      <c r="N25" s="66">
        <f t="shared" si="2"/>
        <v>5.9667079369701753E-2</v>
      </c>
      <c r="O25" s="66"/>
    </row>
    <row r="26" spans="1:15">
      <c r="A26" s="11" t="s">
        <v>207</v>
      </c>
      <c r="B26" s="268">
        <f>'Despeses Personal 2023'!AA9</f>
        <v>1</v>
      </c>
      <c r="C26" s="347" t="e">
        <f>$H$9*D26</f>
        <v>#REF!</v>
      </c>
      <c r="D26" s="11">
        <f>PROPOSTA2024!D26</f>
        <v>1</v>
      </c>
      <c r="E26" s="420">
        <f>ROUND(PROPOSTA2024!E26*(1+PROPOSTA2024!$B$31),2)</f>
        <v>26649.94</v>
      </c>
      <c r="F26" s="420">
        <f>ROUND(E26*$H$13,2)</f>
        <v>8661.23</v>
      </c>
      <c r="G26" s="420">
        <f t="shared" ref="G26:G28" si="3">E26+F26</f>
        <v>35311.17</v>
      </c>
      <c r="H26" s="420">
        <f>ROUND(G26/14,2)</f>
        <v>2522.23</v>
      </c>
      <c r="I26" s="420">
        <f t="shared" ref="I26:I28" si="4">G26+H26</f>
        <v>37833.4</v>
      </c>
      <c r="J26" s="358">
        <f t="shared" si="0"/>
        <v>6.5219099718215323E-2</v>
      </c>
      <c r="K26" s="66"/>
      <c r="L26" s="66"/>
      <c r="M26" s="66">
        <f t="shared" si="1"/>
        <v>37833.4</v>
      </c>
      <c r="N26" s="66">
        <f t="shared" si="2"/>
        <v>6.5219099718215323E-2</v>
      </c>
      <c r="O26" s="66"/>
    </row>
    <row r="27" spans="1:15">
      <c r="A27" s="11" t="s">
        <v>208</v>
      </c>
      <c r="B27" s="268">
        <f>'Despeses Personal 2023'!AA3</f>
        <v>1</v>
      </c>
      <c r="C27" s="347" t="e">
        <f>$H$9*D27</f>
        <v>#REF!</v>
      </c>
      <c r="D27" s="11">
        <f>PROPOSTA2024!D27</f>
        <v>1</v>
      </c>
      <c r="E27" s="420">
        <f>ROUND(PROPOSTA2024!E27*(1+PROPOSTA2024!$B$31),2)</f>
        <v>22832.61</v>
      </c>
      <c r="F27" s="420">
        <f>ROUND(E27*$H$13,2)</f>
        <v>7420.6</v>
      </c>
      <c r="G27" s="420">
        <f t="shared" si="3"/>
        <v>30253.21</v>
      </c>
      <c r="H27" s="420">
        <f>ROUND(G27/14,2)</f>
        <v>2160.94</v>
      </c>
      <c r="I27" s="420">
        <f t="shared" si="4"/>
        <v>32414.149999999998</v>
      </c>
      <c r="J27" s="358">
        <f t="shared" si="0"/>
        <v>5.5877126590028622E-2</v>
      </c>
      <c r="K27" s="66"/>
      <c r="L27" s="66"/>
      <c r="M27" s="66">
        <f t="shared" si="1"/>
        <v>32414.149999999998</v>
      </c>
      <c r="N27" s="66">
        <f t="shared" si="2"/>
        <v>5.5877126590028622E-2</v>
      </c>
      <c r="O27" s="66"/>
    </row>
    <row r="28" spans="1:15">
      <c r="A28" s="11" t="s">
        <v>209</v>
      </c>
      <c r="B28" s="268">
        <f>'Despeses Personal 2023'!AA4</f>
        <v>1</v>
      </c>
      <c r="C28" s="347" t="e">
        <f>$H$9*D28</f>
        <v>#REF!</v>
      </c>
      <c r="D28" s="11">
        <f>PROPOSTA2024!D28</f>
        <v>2</v>
      </c>
      <c r="E28" s="420">
        <f>ROUND(PROPOSTA2024!E28*(1+PROPOSTA2024!$B$31),2)</f>
        <v>40652.36</v>
      </c>
      <c r="F28" s="420">
        <f>ROUND(E28*$H$13,2)</f>
        <v>13212.02</v>
      </c>
      <c r="G28" s="420">
        <f t="shared" si="3"/>
        <v>53864.380000000005</v>
      </c>
      <c r="H28" s="420">
        <f>ROUND(G28/14,2)</f>
        <v>3847.46</v>
      </c>
      <c r="I28" s="420">
        <f t="shared" si="4"/>
        <v>57711.840000000004</v>
      </c>
      <c r="J28" s="358">
        <f t="shared" si="0"/>
        <v>9.9486544901639495E-2</v>
      </c>
      <c r="K28" s="66"/>
      <c r="L28" s="66"/>
      <c r="M28" s="66">
        <f t="shared" si="1"/>
        <v>57711.840000000004</v>
      </c>
      <c r="N28" s="66">
        <f t="shared" si="2"/>
        <v>9.9486544901639495E-2</v>
      </c>
      <c r="O28" s="66"/>
    </row>
    <row r="29" spans="1:15">
      <c r="A29" s="11" t="s">
        <v>210</v>
      </c>
      <c r="B29" s="268">
        <f>'Despeses Personal 2023'!AA11</f>
        <v>1</v>
      </c>
      <c r="C29" s="347" t="e">
        <f>$H$9*D29</f>
        <v>#REF!</v>
      </c>
      <c r="D29" s="11">
        <f>PROPOSTA2024!D29</f>
        <v>1</v>
      </c>
      <c r="E29" s="420">
        <f>ROUND(PROPOSTA2024!E29*(1+PROPOSTA2024!$B$31),2)</f>
        <v>22832.61</v>
      </c>
      <c r="F29" s="420">
        <f>ROUND(E29*$H$13,2)</f>
        <v>7420.6</v>
      </c>
      <c r="G29" s="420">
        <f>E29+F29</f>
        <v>30253.21</v>
      </c>
      <c r="H29" s="420">
        <f>ROUND(G29/14,2)</f>
        <v>2160.94</v>
      </c>
      <c r="I29" s="420">
        <f>G29+H29</f>
        <v>32414.149999999998</v>
      </c>
      <c r="J29" s="358">
        <f t="shared" si="0"/>
        <v>5.5877126590028622E-2</v>
      </c>
      <c r="K29" s="66"/>
      <c r="L29" s="66"/>
      <c r="M29" s="66">
        <f t="shared" si="1"/>
        <v>32414.149999999998</v>
      </c>
      <c r="N29" s="66">
        <f t="shared" si="2"/>
        <v>5.5877126590028622E-2</v>
      </c>
      <c r="O29" s="66"/>
    </row>
    <row r="30" spans="1:15">
      <c r="E30" s="420"/>
      <c r="F30" s="420"/>
      <c r="G30" s="420"/>
      <c r="H30" s="420"/>
      <c r="I30" s="420"/>
      <c r="J30" s="358"/>
      <c r="M30" s="66"/>
      <c r="N30" s="66"/>
    </row>
    <row r="31" spans="1:15">
      <c r="A31" s="11" t="s">
        <v>211</v>
      </c>
      <c r="B31" s="268">
        <f>'Estimacio index increm salarial'!G29</f>
        <v>0.02</v>
      </c>
      <c r="E31" s="420">
        <f>ROUND(($E$21+$E$22+SUM($E$25:$E$29))*B31,2)</f>
        <v>12138.22</v>
      </c>
      <c r="F31" s="420">
        <f>ROUND(E31*$H$13,2)</f>
        <v>3944.92</v>
      </c>
      <c r="G31" s="420">
        <f>E31+F31</f>
        <v>16083.14</v>
      </c>
      <c r="H31" s="420">
        <f>ROUND(G31/14,2)</f>
        <v>1148.8</v>
      </c>
      <c r="I31" s="420">
        <f>G31+H31</f>
        <v>17231.939999999999</v>
      </c>
      <c r="J31" s="358">
        <f>I31/$H$18</f>
        <v>2.970527663911526E-2</v>
      </c>
      <c r="K31" s="66"/>
      <c r="L31" s="66"/>
      <c r="M31" s="66">
        <f t="shared" si="1"/>
        <v>17231.939999999999</v>
      </c>
      <c r="N31" s="66">
        <f t="shared" si="2"/>
        <v>2.970527663911526E-2</v>
      </c>
      <c r="O31" s="66"/>
    </row>
    <row r="32" spans="1:15">
      <c r="A32" s="11" t="s">
        <v>212</v>
      </c>
      <c r="B32" s="268">
        <f>PROPOSTA2024!B32</f>
        <v>6.3E-2</v>
      </c>
      <c r="E32" s="420">
        <f>ROUND(($E$21+$E$22+SUM($E$25:$E$29))*B32,2)</f>
        <v>38235.39</v>
      </c>
      <c r="F32" s="420">
        <f>ROUND(E32*$H$13,2)</f>
        <v>12426.5</v>
      </c>
      <c r="G32" s="420">
        <f>E32+F32</f>
        <v>50661.89</v>
      </c>
      <c r="H32" s="420">
        <f>ROUND(G32/14,2)</f>
        <v>3618.71</v>
      </c>
      <c r="I32" s="420">
        <f>G32+H32</f>
        <v>54280.6</v>
      </c>
      <c r="J32" s="358">
        <f t="shared" si="0"/>
        <v>9.3571602450865071E-2</v>
      </c>
      <c r="K32" s="66"/>
      <c r="L32" s="66"/>
      <c r="M32" s="66">
        <f t="shared" si="1"/>
        <v>54280.6</v>
      </c>
      <c r="N32" s="66">
        <f t="shared" si="2"/>
        <v>9.3571602450865071E-2</v>
      </c>
      <c r="O32" s="66"/>
    </row>
    <row r="33" spans="1:15">
      <c r="A33" s="11" t="s">
        <v>213</v>
      </c>
      <c r="B33" s="268">
        <f>PROPOSTA2024!B33</f>
        <v>0.01</v>
      </c>
      <c r="E33" s="420">
        <f>ROUND(($E$21+$E$22+SUM($E$25:$E$29))*B33,2)</f>
        <v>6069.11</v>
      </c>
      <c r="F33" s="420">
        <f>ROUND(E33*$H$13,2)</f>
        <v>1972.46</v>
      </c>
      <c r="G33" s="420">
        <f>E33+F33</f>
        <v>8041.57</v>
      </c>
      <c r="H33" s="420">
        <f>ROUND(G33/14,2)</f>
        <v>574.4</v>
      </c>
      <c r="I33" s="420">
        <f>G33+H33</f>
        <v>8615.9699999999993</v>
      </c>
      <c r="J33" s="358">
        <f t="shared" si="0"/>
        <v>1.485263831955763E-2</v>
      </c>
      <c r="K33" s="66"/>
      <c r="L33" s="66"/>
      <c r="M33" s="66">
        <f t="shared" si="1"/>
        <v>8615.9699999999993</v>
      </c>
      <c r="N33" s="66">
        <f t="shared" si="2"/>
        <v>1.485263831955763E-2</v>
      </c>
      <c r="O33" s="66"/>
    </row>
    <row r="34" spans="1:15">
      <c r="A34" s="11" t="s">
        <v>214</v>
      </c>
      <c r="B34" s="268">
        <f>PROPOSTA2024!B34</f>
        <v>0.01</v>
      </c>
      <c r="E34" s="420">
        <f>ROUND(($E$21+$E$22+SUM($E$25:$E$29))*B34,2)</f>
        <v>6069.11</v>
      </c>
      <c r="F34" s="420">
        <f>ROUND(E34*$H$13,2)</f>
        <v>1972.46</v>
      </c>
      <c r="G34" s="420">
        <f>E34+F34</f>
        <v>8041.57</v>
      </c>
      <c r="H34" s="420">
        <f>ROUND(G34/14,2)</f>
        <v>574.4</v>
      </c>
      <c r="I34" s="420">
        <f>G34+H34</f>
        <v>8615.9699999999993</v>
      </c>
      <c r="J34" s="358">
        <f t="shared" si="0"/>
        <v>1.485263831955763E-2</v>
      </c>
      <c r="K34" s="66"/>
      <c r="L34" s="66"/>
      <c r="M34" s="66">
        <f>I34</f>
        <v>8615.9699999999993</v>
      </c>
      <c r="N34" s="66">
        <f t="shared" si="2"/>
        <v>1.485263831955763E-2</v>
      </c>
      <c r="O34" s="66"/>
    </row>
    <row r="35" spans="1:15">
      <c r="E35" s="357"/>
      <c r="F35" s="357"/>
      <c r="G35" s="357"/>
      <c r="H35" s="357"/>
      <c r="I35" s="357"/>
      <c r="J35" s="358"/>
      <c r="K35" s="66"/>
      <c r="O35" s="66"/>
    </row>
    <row r="36" spans="1:15" s="349" customFormat="1">
      <c r="A36" s="359" t="s">
        <v>77</v>
      </c>
      <c r="B36" s="348"/>
      <c r="C36" s="348"/>
      <c r="D36" s="350">
        <f>SUM(D21:D34)</f>
        <v>28</v>
      </c>
      <c r="E36" s="360">
        <f>E21+E22+SUM(E25:E29)+SUM(E31:E34)</f>
        <v>669422.81999999995</v>
      </c>
      <c r="F36" s="360">
        <f>F21+F22+SUM(F25:F29)+SUM(F31:F34)</f>
        <v>217562.41999999998</v>
      </c>
      <c r="G36" s="360">
        <f>G21+G22+SUM(G25:G29)+SUM(G31:G34)</f>
        <v>886985.24000000011</v>
      </c>
      <c r="H36" s="360">
        <f>H21+H22+SUM(H25:H29)+SUM(H31:H34)</f>
        <v>63356.1</v>
      </c>
      <c r="I36" s="361">
        <f>I21+I22+SUM(I25:I29)+SUM(I31:I34)</f>
        <v>950341.34000000008</v>
      </c>
      <c r="J36" s="361">
        <f>I36/$H$18</f>
        <v>1.6382457463458842</v>
      </c>
      <c r="K36" s="66"/>
      <c r="L36" s="363">
        <f>J36/$J$100</f>
        <v>0.21553672581116287</v>
      </c>
      <c r="M36" s="364">
        <f>M21+M22+SUM(M25:M29)+SUM(M31:M34)</f>
        <v>950341.34000000008</v>
      </c>
      <c r="N36" s="66">
        <f t="shared" si="2"/>
        <v>1.6382457463458842</v>
      </c>
      <c r="O36" s="66"/>
    </row>
    <row r="37" spans="1:15">
      <c r="E37" s="357"/>
      <c r="F37" s="357"/>
      <c r="G37" s="357"/>
      <c r="H37" s="357"/>
      <c r="I37" s="357"/>
      <c r="J37" s="358"/>
      <c r="K37" s="66"/>
      <c r="O37" s="66"/>
    </row>
    <row r="38" spans="1:15" s="349" customFormat="1">
      <c r="A38" s="349" t="s">
        <v>75</v>
      </c>
      <c r="E38" s="365"/>
      <c r="F38" s="365"/>
      <c r="G38" s="365"/>
      <c r="H38" s="365"/>
      <c r="I38" s="365"/>
      <c r="J38" s="358"/>
      <c r="K38" s="66"/>
      <c r="O38" s="66"/>
    </row>
    <row r="39" spans="1:15">
      <c r="A39" s="11" t="s">
        <v>215</v>
      </c>
      <c r="B39" s="268">
        <f>'Despeses Personal 2023'!AA7</f>
        <v>1</v>
      </c>
      <c r="C39" s="347" t="e">
        <f>$H$9*D39</f>
        <v>#REF!</v>
      </c>
      <c r="D39" s="11">
        <f>PROPOSTA2024!D39</f>
        <v>2</v>
      </c>
      <c r="E39" s="420">
        <f>ROUND(PROPOSTA2024!E39*(1+PROPOSTA2024!$B$31),2)</f>
        <v>50256.51</v>
      </c>
      <c r="F39" s="420">
        <f>ROUND(E39*$H$13,2)</f>
        <v>16333.37</v>
      </c>
      <c r="G39" s="420">
        <f>E39+F39</f>
        <v>66589.88</v>
      </c>
      <c r="H39" s="420">
        <f>ROUND(G39/14,2)</f>
        <v>4756.42</v>
      </c>
      <c r="I39" s="420">
        <f>G39+H39</f>
        <v>71346.3</v>
      </c>
      <c r="J39" s="358">
        <f>I39/$H$18</f>
        <v>0.12299030629617497</v>
      </c>
      <c r="K39" s="66"/>
      <c r="L39" s="66"/>
      <c r="M39" s="66">
        <f>I39</f>
        <v>71346.3</v>
      </c>
      <c r="N39" s="66">
        <f t="shared" ref="N39:N46" si="5">M39/$H$18</f>
        <v>0.12299030629617497</v>
      </c>
      <c r="O39" s="66"/>
    </row>
    <row r="40" spans="1:15">
      <c r="A40" s="11" t="s">
        <v>216</v>
      </c>
      <c r="B40" s="268">
        <f>'Despeses Personal 2023'!AA12</f>
        <v>1</v>
      </c>
      <c r="C40" s="347" t="e">
        <f>$H$9*D40</f>
        <v>#REF!</v>
      </c>
      <c r="D40" s="11">
        <f>PROPOSTA2024!D40</f>
        <v>2</v>
      </c>
      <c r="E40" s="420">
        <f>ROUND(PROPOSTA2024!E40*(1+PROPOSTA2024!$B$31),2)</f>
        <v>39894.97</v>
      </c>
      <c r="F40" s="420">
        <f>ROUND(E40*$H$13,2)</f>
        <v>12965.87</v>
      </c>
      <c r="G40" s="420">
        <f>E40+F40</f>
        <v>52860.840000000004</v>
      </c>
      <c r="H40" s="420">
        <f>ROUND(G40/14,2)</f>
        <v>3775.77</v>
      </c>
      <c r="I40" s="420">
        <f>G40+H40</f>
        <v>56636.61</v>
      </c>
      <c r="J40" s="358">
        <f t="shared" si="0"/>
        <v>9.7633009861436484E-2</v>
      </c>
      <c r="K40" s="66"/>
      <c r="L40" s="66"/>
      <c r="M40" s="66">
        <f t="shared" ref="M40:M46" si="6">I40</f>
        <v>56636.61</v>
      </c>
      <c r="N40" s="66">
        <f t="shared" si="5"/>
        <v>9.7633009861436484E-2</v>
      </c>
      <c r="O40" s="66"/>
    </row>
    <row r="41" spans="1:15">
      <c r="A41" s="11" t="s">
        <v>217</v>
      </c>
      <c r="B41" s="268">
        <f>'Despeses Personal 2023'!AA6</f>
        <v>0.875</v>
      </c>
      <c r="C41" s="347" t="e">
        <f>$H$9*D41</f>
        <v>#REF!</v>
      </c>
      <c r="D41" s="11">
        <f>PROPOSTA2024!D41</f>
        <v>2</v>
      </c>
      <c r="E41" s="420">
        <f>ROUND(PROPOSTA2024!E41*(1+PROPOSTA2024!$B$31),2)</f>
        <v>35718.239999999998</v>
      </c>
      <c r="F41" s="420">
        <f>ROUND(E41*$H$13,2)</f>
        <v>11608.43</v>
      </c>
      <c r="G41" s="420">
        <f>E41+F41</f>
        <v>47326.67</v>
      </c>
      <c r="H41" s="420">
        <f>ROUND(G41/14,2)</f>
        <v>3380.48</v>
      </c>
      <c r="I41" s="420">
        <f>G41+H41</f>
        <v>50707.15</v>
      </c>
      <c r="J41" s="358">
        <f>I41/$H$18</f>
        <v>8.7411511317420643E-2</v>
      </c>
      <c r="K41" s="66"/>
      <c r="L41" s="66"/>
      <c r="M41" s="66">
        <f t="shared" si="6"/>
        <v>50707.15</v>
      </c>
      <c r="N41" s="66">
        <f t="shared" si="5"/>
        <v>8.7411511317420643E-2</v>
      </c>
      <c r="O41" s="66"/>
    </row>
    <row r="42" spans="1:15">
      <c r="E42" s="420"/>
      <c r="F42" s="420"/>
      <c r="G42" s="420"/>
      <c r="H42" s="420"/>
      <c r="I42" s="420"/>
      <c r="J42" s="357"/>
      <c r="K42" s="66"/>
      <c r="M42" s="66"/>
      <c r="N42" s="66"/>
      <c r="O42" s="66"/>
    </row>
    <row r="43" spans="1:15">
      <c r="A43" s="11" t="s">
        <v>211</v>
      </c>
      <c r="B43" s="268">
        <f>B31</f>
        <v>0.02</v>
      </c>
      <c r="E43" s="420">
        <f>ROUND(SUM($E$39:$E$41)*B43,2)</f>
        <v>2517.39</v>
      </c>
      <c r="F43" s="420">
        <f>ROUND(E43*$H$13,2)</f>
        <v>818.15</v>
      </c>
      <c r="G43" s="420">
        <f>E43+F43</f>
        <v>3335.54</v>
      </c>
      <c r="H43" s="420">
        <f>ROUND(G43/14,2)</f>
        <v>238.25</v>
      </c>
      <c r="I43" s="420">
        <f>G43+H43</f>
        <v>3573.79</v>
      </c>
      <c r="J43" s="431">
        <f>I43/$H$18</f>
        <v>6.1606772423826762E-3</v>
      </c>
      <c r="K43" s="66"/>
      <c r="L43" s="66"/>
      <c r="M43" s="66">
        <f t="shared" si="6"/>
        <v>3573.79</v>
      </c>
      <c r="N43" s="66">
        <f t="shared" si="5"/>
        <v>6.1606772423826762E-3</v>
      </c>
      <c r="O43" s="66"/>
    </row>
    <row r="44" spans="1:15">
      <c r="A44" s="11" t="s">
        <v>212</v>
      </c>
      <c r="B44" s="268">
        <f>PROPOSTA2024!B44</f>
        <v>6.3E-2</v>
      </c>
      <c r="E44" s="420">
        <f>ROUND(SUM($E$39:$E$41)*B44,2)</f>
        <v>7929.79</v>
      </c>
      <c r="F44" s="420">
        <f>ROUND(E44*$H$13,2)</f>
        <v>2577.1799999999998</v>
      </c>
      <c r="G44" s="420">
        <f t="shared" ref="G44:G46" si="7">E44+F44</f>
        <v>10506.97</v>
      </c>
      <c r="H44" s="420">
        <f>ROUND(G44/14,2)</f>
        <v>750.5</v>
      </c>
      <c r="I44" s="420">
        <f t="shared" ref="I44:I46" si="8">G44+H44</f>
        <v>11257.47</v>
      </c>
      <c r="J44" s="431">
        <f>I44/$H$18</f>
        <v>1.9406187614774705E-2</v>
      </c>
      <c r="K44" s="66"/>
      <c r="L44" s="66"/>
      <c r="M44" s="66">
        <f t="shared" si="6"/>
        <v>11257.47</v>
      </c>
      <c r="N44" s="66">
        <f t="shared" si="5"/>
        <v>1.9406187614774705E-2</v>
      </c>
      <c r="O44" s="66"/>
    </row>
    <row r="45" spans="1:15">
      <c r="A45" s="11" t="s">
        <v>213</v>
      </c>
      <c r="B45" s="268">
        <f>B33</f>
        <v>0.01</v>
      </c>
      <c r="E45" s="420">
        <f>ROUND(SUM($E$39:$E$41)*B45,2)</f>
        <v>1258.7</v>
      </c>
      <c r="F45" s="420">
        <f>ROUND(E45*$H$13,2)</f>
        <v>409.08</v>
      </c>
      <c r="G45" s="420">
        <f t="shared" si="7"/>
        <v>1667.78</v>
      </c>
      <c r="H45" s="420">
        <f>ROUND(G45/14,2)</f>
        <v>119.13</v>
      </c>
      <c r="I45" s="420">
        <f t="shared" si="8"/>
        <v>1786.9099999999999</v>
      </c>
      <c r="J45" s="431">
        <f>I45/$H$18</f>
        <v>3.0803644789386131E-3</v>
      </c>
      <c r="K45" s="66"/>
      <c r="L45" s="66"/>
      <c r="M45" s="66">
        <f t="shared" si="6"/>
        <v>1786.9099999999999</v>
      </c>
      <c r="N45" s="66">
        <f t="shared" si="5"/>
        <v>3.0803644789386131E-3</v>
      </c>
      <c r="O45" s="66"/>
    </row>
    <row r="46" spans="1:15">
      <c r="A46" s="11" t="s">
        <v>214</v>
      </c>
      <c r="B46" s="268">
        <f>B34</f>
        <v>0.01</v>
      </c>
      <c r="E46" s="420">
        <f>ROUND(SUM($E$39:$E$41)*B46,2)</f>
        <v>1258.7</v>
      </c>
      <c r="F46" s="420">
        <f>ROUND(E46*$H$13,2)</f>
        <v>409.08</v>
      </c>
      <c r="G46" s="420">
        <f t="shared" si="7"/>
        <v>1667.78</v>
      </c>
      <c r="H46" s="420">
        <f>ROUND(G46/14,2)</f>
        <v>119.13</v>
      </c>
      <c r="I46" s="420">
        <f t="shared" si="8"/>
        <v>1786.9099999999999</v>
      </c>
      <c r="J46" s="431">
        <f>I46/$H$18</f>
        <v>3.0803644789386131E-3</v>
      </c>
      <c r="K46" s="66"/>
      <c r="L46" s="66"/>
      <c r="M46" s="66">
        <f t="shared" si="6"/>
        <v>1786.9099999999999</v>
      </c>
      <c r="N46" s="66">
        <f t="shared" si="5"/>
        <v>3.0803644789386131E-3</v>
      </c>
      <c r="O46" s="66"/>
    </row>
    <row r="47" spans="1:15">
      <c r="E47" s="357"/>
      <c r="F47" s="357"/>
      <c r="G47" s="357"/>
      <c r="H47" s="357"/>
      <c r="I47" s="357"/>
      <c r="J47" s="357"/>
      <c r="K47" s="66"/>
      <c r="O47" s="66"/>
    </row>
    <row r="48" spans="1:15">
      <c r="A48" s="359" t="s">
        <v>76</v>
      </c>
      <c r="B48" s="383"/>
      <c r="C48" s="383"/>
      <c r="D48" s="350">
        <f>SUM(D39:D46)</f>
        <v>6</v>
      </c>
      <c r="E48" s="360">
        <f>SUM(E39:E41)+SUM(E43:E46)</f>
        <v>138834.29999999999</v>
      </c>
      <c r="F48" s="360">
        <f t="shared" ref="F48:H48" si="9">SUM(F39:F41)+SUM(F43:F46)</f>
        <v>45121.159999999996</v>
      </c>
      <c r="G48" s="360">
        <f t="shared" si="9"/>
        <v>183955.46000000002</v>
      </c>
      <c r="H48" s="360">
        <f t="shared" si="9"/>
        <v>13139.68</v>
      </c>
      <c r="I48" s="361">
        <f>SUM(I39:I41)+SUM(I43:I46)</f>
        <v>197095.13999999998</v>
      </c>
      <c r="J48" s="361">
        <f>I48/$H$18</f>
        <v>0.33976242129006667</v>
      </c>
      <c r="K48" s="66"/>
      <c r="L48" s="363">
        <f>J48/$J$100</f>
        <v>4.4701034629192025E-2</v>
      </c>
      <c r="M48" s="364">
        <f>SUM(M39:M41)+SUM(M43:M46)</f>
        <v>197095.13999999998</v>
      </c>
      <c r="N48" s="66">
        <f t="shared" ref="N48" si="10">M48/$H$18</f>
        <v>0.33976242129006667</v>
      </c>
      <c r="O48" s="66"/>
    </row>
    <row r="49" spans="1:23" ht="15" thickBot="1">
      <c r="E49" s="357"/>
      <c r="F49" s="357"/>
      <c r="G49" s="357"/>
      <c r="H49" s="357"/>
      <c r="I49" s="357"/>
      <c r="J49" s="357"/>
      <c r="K49" s="66"/>
      <c r="O49" s="66"/>
    </row>
    <row r="50" spans="1:23" s="349" customFormat="1" ht="15" thickBot="1">
      <c r="A50" s="384" t="s">
        <v>82</v>
      </c>
      <c r="B50" s="385"/>
      <c r="C50" s="385"/>
      <c r="D50" s="386">
        <f>D36+D48</f>
        <v>34</v>
      </c>
      <c r="E50" s="387">
        <f>E36+E48</f>
        <v>808257.11999999988</v>
      </c>
      <c r="F50" s="387">
        <f t="shared" ref="F50:H50" si="11">F36+F48</f>
        <v>262683.57999999996</v>
      </c>
      <c r="G50" s="387">
        <f t="shared" si="11"/>
        <v>1070940.7000000002</v>
      </c>
      <c r="H50" s="387">
        <f t="shared" si="11"/>
        <v>76495.78</v>
      </c>
      <c r="I50" s="388">
        <f>I36+I48</f>
        <v>1147436.48</v>
      </c>
      <c r="J50" s="361">
        <f>I50/$H$18</f>
        <v>1.9780081676359507</v>
      </c>
      <c r="K50" s="66"/>
      <c r="L50" s="363">
        <f>J50/$J$100</f>
        <v>0.26023776044035485</v>
      </c>
      <c r="M50" s="389">
        <f>M36+M48</f>
        <v>1147436.48</v>
      </c>
      <c r="N50" s="66">
        <f t="shared" ref="N50" si="12">M50/$H$18</f>
        <v>1.9780081676359507</v>
      </c>
      <c r="O50" s="66"/>
    </row>
    <row r="51" spans="1:23">
      <c r="K51" s="66"/>
      <c r="O51" s="66"/>
    </row>
    <row r="52" spans="1:23">
      <c r="D52" s="11" t="s">
        <v>91</v>
      </c>
      <c r="K52" s="66"/>
      <c r="O52" s="66"/>
    </row>
    <row r="53" spans="1:23">
      <c r="C53" s="11" t="s">
        <v>90</v>
      </c>
      <c r="D53" s="11" t="s">
        <v>103</v>
      </c>
      <c r="I53" s="11" t="s">
        <v>50</v>
      </c>
      <c r="K53" s="66"/>
      <c r="T53" s="169"/>
    </row>
    <row r="54" spans="1:23">
      <c r="A54" s="11" t="s">
        <v>89</v>
      </c>
    </row>
    <row r="55" spans="1:23">
      <c r="A55" s="11" t="s">
        <v>218</v>
      </c>
      <c r="C55" s="421">
        <f>'Estimacio increment IPC'!W10</f>
        <v>3.9133034237556004</v>
      </c>
      <c r="D55" s="116">
        <f>H18</f>
        <v>580096.93729999999</v>
      </c>
      <c r="I55" s="141">
        <f>C55*D55</f>
        <v>2270095.3308462277</v>
      </c>
      <c r="J55" s="65">
        <f>I55/$H$18</f>
        <v>3.9133034237556004</v>
      </c>
      <c r="K55" s="21"/>
      <c r="L55" s="21"/>
      <c r="M55" s="66">
        <f t="shared" ref="M55:M58" si="13">I55</f>
        <v>2270095.3308462277</v>
      </c>
      <c r="N55" s="66">
        <f t="shared" ref="N55:N60" si="14">M55/$H$18</f>
        <v>3.9133034237556004</v>
      </c>
      <c r="O55" s="21"/>
      <c r="W55" s="169"/>
    </row>
    <row r="56" spans="1:23">
      <c r="A56" s="11" t="s">
        <v>219</v>
      </c>
      <c r="B56" s="390">
        <v>0.65</v>
      </c>
      <c r="C56" s="423">
        <f>C55*B56</f>
        <v>2.5436472254411404</v>
      </c>
      <c r="D56" s="116">
        <f>D55*B56</f>
        <v>377063.00924500002</v>
      </c>
      <c r="I56" s="141">
        <f>D56*C55</f>
        <v>1475561.9650500482</v>
      </c>
      <c r="J56" s="65">
        <f t="shared" ref="J56:J57" si="15">I56/$H$18</f>
        <v>2.5436472254411404</v>
      </c>
      <c r="K56" s="21"/>
      <c r="L56" s="21"/>
      <c r="M56" s="66"/>
      <c r="N56" s="66"/>
      <c r="O56" s="21"/>
      <c r="W56" s="169"/>
    </row>
    <row r="57" spans="1:23">
      <c r="A57" s="11" t="s">
        <v>220</v>
      </c>
      <c r="B57" s="390">
        <v>0.35</v>
      </c>
      <c r="C57" s="423">
        <f>C55*B57</f>
        <v>1.3696561983144599</v>
      </c>
      <c r="D57" s="116">
        <f>D55*B57</f>
        <v>203033.928055</v>
      </c>
      <c r="I57" s="141">
        <f>D57*C55</f>
        <v>794533.36579617974</v>
      </c>
      <c r="J57" s="65">
        <f t="shared" si="15"/>
        <v>1.3696561983144602</v>
      </c>
      <c r="K57" s="21"/>
      <c r="L57" s="21"/>
      <c r="M57" s="66"/>
      <c r="N57" s="66"/>
      <c r="O57" s="21"/>
      <c r="W57" s="169"/>
    </row>
    <row r="58" spans="1:23">
      <c r="A58" s="11" t="s">
        <v>221</v>
      </c>
      <c r="C58" s="422">
        <f>ROUND(PROPOSTA2024!C58*(1+'Estimacio increment IPC'!$G$10),2)</f>
        <v>0.14000000000000001</v>
      </c>
      <c r="D58" s="116">
        <f>52*37*G18</f>
        <v>2639728</v>
      </c>
      <c r="E58" s="11">
        <f>D58/D55</f>
        <v>4.5504946333389302</v>
      </c>
      <c r="F58" s="11">
        <v>5.29</v>
      </c>
      <c r="G58" s="68"/>
      <c r="I58" s="141">
        <f>C58*D58</f>
        <v>369561.92000000004</v>
      </c>
      <c r="J58" s="65">
        <f>I58/$H$18</f>
        <v>0.63706924866745029</v>
      </c>
      <c r="K58" s="21"/>
      <c r="L58" s="21"/>
      <c r="M58" s="66">
        <f t="shared" si="13"/>
        <v>369561.92000000004</v>
      </c>
      <c r="N58" s="66">
        <f t="shared" si="14"/>
        <v>0.63706924866745029</v>
      </c>
      <c r="O58" s="21"/>
      <c r="Q58" s="11" t="s">
        <v>170</v>
      </c>
    </row>
    <row r="59" spans="1:23">
      <c r="A59" s="11" t="s">
        <v>92</v>
      </c>
      <c r="K59" s="21"/>
      <c r="O59" s="21"/>
      <c r="P59" s="11">
        <v>0.19</v>
      </c>
      <c r="Q59" s="11" t="s">
        <v>171</v>
      </c>
    </row>
    <row r="60" spans="1:23">
      <c r="A60" s="399" t="s">
        <v>93</v>
      </c>
      <c r="B60" s="400"/>
      <c r="C60" s="400"/>
      <c r="D60" s="400"/>
      <c r="E60" s="400"/>
      <c r="F60" s="400"/>
      <c r="G60" s="400"/>
      <c r="H60" s="400"/>
      <c r="I60" s="401">
        <f>I55+I58</f>
        <v>2639657.2508462276</v>
      </c>
      <c r="J60" s="401">
        <f>I60/$H$18</f>
        <v>4.55037267242305</v>
      </c>
      <c r="K60" s="21"/>
      <c r="L60" s="363">
        <f>J60/$J$100</f>
        <v>0.59867234767572164</v>
      </c>
      <c r="M60" s="401">
        <f>M55+M58</f>
        <v>2639657.2508462276</v>
      </c>
      <c r="N60" s="66">
        <f t="shared" si="14"/>
        <v>4.55037267242305</v>
      </c>
      <c r="O60" s="21"/>
    </row>
    <row r="61" spans="1:23">
      <c r="A61" s="403"/>
      <c r="B61" s="403"/>
      <c r="C61" s="403"/>
      <c r="D61" s="403"/>
      <c r="E61" s="403"/>
      <c r="F61" s="403"/>
      <c r="G61" s="403"/>
      <c r="H61" s="403"/>
      <c r="I61" s="404"/>
      <c r="J61" s="404"/>
      <c r="K61" s="21"/>
      <c r="L61" s="404"/>
      <c r="M61" s="404"/>
      <c r="N61" s="404"/>
      <c r="O61" s="21"/>
    </row>
    <row r="62" spans="1:23">
      <c r="C62" s="11" t="s">
        <v>90</v>
      </c>
      <c r="D62" s="11" t="s">
        <v>103</v>
      </c>
      <c r="E62" s="11" t="s">
        <v>131</v>
      </c>
      <c r="F62" s="11" t="s">
        <v>158</v>
      </c>
      <c r="G62" s="11" t="s">
        <v>159</v>
      </c>
      <c r="I62" s="11" t="s">
        <v>104</v>
      </c>
      <c r="K62" s="21"/>
      <c r="O62" s="21"/>
    </row>
    <row r="63" spans="1:23">
      <c r="K63" s="21"/>
      <c r="O63" s="21"/>
    </row>
    <row r="64" spans="1:23">
      <c r="A64" s="11" t="s">
        <v>111</v>
      </c>
      <c r="C64" s="140">
        <f>ROUND(PROPOSTA2024!C64*(1+'Estimacio increment IPC'!$G$10),2)</f>
        <v>27.45</v>
      </c>
      <c r="D64" s="96">
        <f>PROPOSTA2022!D64</f>
        <v>52</v>
      </c>
      <c r="E64" s="96"/>
      <c r="F64" s="96"/>
      <c r="G64" s="96"/>
      <c r="H64" s="96"/>
      <c r="I64" s="143">
        <f>C64*D64</f>
        <v>1427.3999999999999</v>
      </c>
      <c r="J64" s="65">
        <f>I64/$H$18</f>
        <v>2.4606232307374052E-3</v>
      </c>
      <c r="K64" s="21"/>
      <c r="L64" s="64"/>
      <c r="M64" s="66">
        <f t="shared" ref="M64:M84" si="16">I64</f>
        <v>1427.3999999999999</v>
      </c>
      <c r="N64" s="66">
        <f t="shared" ref="N64:N84" si="17">M64/$H$18</f>
        <v>2.4606232307374052E-3</v>
      </c>
      <c r="O64" s="21"/>
    </row>
    <row r="65" spans="1:19">
      <c r="A65" s="11" t="s">
        <v>100</v>
      </c>
      <c r="C65" s="140">
        <f>ROUND(PROPOSTA2024!C65*(1+'Estimacio increment IPC'!$G$10),2)</f>
        <v>851.16</v>
      </c>
      <c r="D65" s="96">
        <f>PROPOSTA2022!D65</f>
        <v>1</v>
      </c>
      <c r="E65" s="96"/>
      <c r="F65" s="96"/>
      <c r="G65" s="96"/>
      <c r="H65" s="96"/>
      <c r="I65" s="143">
        <f>C65</f>
        <v>851.16</v>
      </c>
      <c r="J65" s="65">
        <f>I65/$H$18</f>
        <v>1.4672720114014641E-3</v>
      </c>
      <c r="K65" s="21"/>
      <c r="L65" s="64"/>
      <c r="M65" s="66">
        <f t="shared" si="16"/>
        <v>851.16</v>
      </c>
      <c r="N65" s="66">
        <f t="shared" si="17"/>
        <v>1.4672720114014641E-3</v>
      </c>
      <c r="O65" s="21"/>
    </row>
    <row r="66" spans="1:19">
      <c r="A66" s="11" t="s">
        <v>129</v>
      </c>
      <c r="C66" s="140">
        <f>ROUND(PROPOSTA2024!C66*(1+'Estimacio increment IPC'!$G$10),2)</f>
        <v>126.3</v>
      </c>
      <c r="D66" s="96">
        <f>D21+D25</f>
        <v>17</v>
      </c>
      <c r="E66" s="96">
        <v>2</v>
      </c>
      <c r="F66" s="96"/>
      <c r="G66" s="96"/>
      <c r="H66" s="96"/>
      <c r="I66" s="143">
        <f>C66*D66*E66</f>
        <v>4294.2</v>
      </c>
      <c r="J66" s="65">
        <f>I66/$H$18</f>
        <v>7.4025558900326222E-3</v>
      </c>
      <c r="K66" s="21"/>
      <c r="L66" s="64"/>
      <c r="M66" s="66">
        <f t="shared" si="16"/>
        <v>4294.2</v>
      </c>
      <c r="N66" s="66">
        <f t="shared" si="17"/>
        <v>7.4025558900326222E-3</v>
      </c>
      <c r="O66" s="21"/>
      <c r="Q66" s="11" t="s">
        <v>132</v>
      </c>
      <c r="R66" s="11" t="s">
        <v>133</v>
      </c>
      <c r="S66" s="11" t="s">
        <v>134</v>
      </c>
    </row>
    <row r="67" spans="1:19">
      <c r="A67" s="11" t="s">
        <v>130</v>
      </c>
      <c r="C67" s="140">
        <f>ROUND(PROPOSTA2024!C67*(1+'Estimacio increment IPC'!$G$10),2)</f>
        <v>52.72</v>
      </c>
      <c r="D67" s="96">
        <f>D39+D40+D41</f>
        <v>6</v>
      </c>
      <c r="E67" s="96">
        <v>2</v>
      </c>
      <c r="F67" s="96"/>
      <c r="G67" s="96"/>
      <c r="H67" s="96"/>
      <c r="I67" s="143">
        <f>C67*D67*E67</f>
        <v>632.64</v>
      </c>
      <c r="J67" s="65">
        <f>I67/$H$18</f>
        <v>1.0905763490918537E-3</v>
      </c>
      <c r="K67" s="21"/>
      <c r="L67" s="64"/>
      <c r="M67" s="66">
        <f t="shared" si="16"/>
        <v>632.64</v>
      </c>
      <c r="N67" s="66">
        <f t="shared" si="17"/>
        <v>1.0905763490918537E-3</v>
      </c>
      <c r="O67" s="21"/>
      <c r="Q67" s="11" t="s">
        <v>132</v>
      </c>
      <c r="R67" s="11" t="s">
        <v>133</v>
      </c>
      <c r="S67" s="11" t="s">
        <v>134</v>
      </c>
    </row>
    <row r="68" spans="1:19">
      <c r="A68" s="11" t="s">
        <v>98</v>
      </c>
      <c r="C68" s="140"/>
      <c r="D68" s="96"/>
      <c r="E68" s="96"/>
      <c r="F68" s="96"/>
      <c r="G68" s="96"/>
      <c r="H68" s="96"/>
      <c r="I68" s="143"/>
      <c r="J68" s="64"/>
      <c r="K68" s="21"/>
      <c r="L68" s="64"/>
      <c r="M68" s="66"/>
      <c r="N68" s="66"/>
      <c r="O68" s="21"/>
    </row>
    <row r="69" spans="1:19">
      <c r="A69" s="67" t="s">
        <v>99</v>
      </c>
      <c r="C69" s="140">
        <f>ROUND(PROPOSTA2024!C69*(1+'Estimacio increment IPC'!$G$10),2)</f>
        <v>1153.18</v>
      </c>
      <c r="D69" s="96">
        <f>PROPOSTA2022!D69</f>
        <v>10</v>
      </c>
      <c r="E69" s="96">
        <v>12</v>
      </c>
      <c r="F69" s="96"/>
      <c r="G69" s="96"/>
      <c r="H69" s="96"/>
      <c r="I69" s="143">
        <f>C69*D69*12</f>
        <v>138381.6</v>
      </c>
      <c r="J69" s="65">
        <f t="shared" ref="J69:J72" si="18">I69/$H$18</f>
        <v>0.23854909602536875</v>
      </c>
      <c r="K69" s="21"/>
      <c r="L69" s="64"/>
      <c r="M69" s="66">
        <f t="shared" si="16"/>
        <v>138381.6</v>
      </c>
      <c r="N69" s="66">
        <f t="shared" si="17"/>
        <v>0.23854909602536875</v>
      </c>
      <c r="O69" s="21"/>
    </row>
    <row r="70" spans="1:19">
      <c r="A70" s="67" t="s">
        <v>105</v>
      </c>
      <c r="C70" s="140">
        <f>ROUND(PROPOSTA2024!C70*(1+'Estimacio increment IPC'!$G$10),2)</f>
        <v>1256.4100000000001</v>
      </c>
      <c r="D70" s="96">
        <f>PROPOSTA2022!D70</f>
        <v>10</v>
      </c>
      <c r="E70" s="96"/>
      <c r="F70" s="96"/>
      <c r="G70" s="96"/>
      <c r="H70" s="96"/>
      <c r="I70" s="143">
        <f t="shared" ref="I70" si="19">C70*D70</f>
        <v>12564.1</v>
      </c>
      <c r="J70" s="65">
        <f t="shared" si="18"/>
        <v>2.1658621502947902E-2</v>
      </c>
      <c r="K70" s="21"/>
      <c r="L70" s="64"/>
      <c r="M70" s="66">
        <f t="shared" si="16"/>
        <v>12564.1</v>
      </c>
      <c r="N70" s="66">
        <f t="shared" si="17"/>
        <v>2.1658621502947902E-2</v>
      </c>
      <c r="O70" s="21"/>
    </row>
    <row r="71" spans="1:19">
      <c r="A71" s="67" t="s">
        <v>95</v>
      </c>
      <c r="C71" s="140">
        <f>ROUND(PROPOSTA2024!C71*(1+'Estimacio increment IPC'!$G$10),2)</f>
        <v>115.31</v>
      </c>
      <c r="D71" s="96">
        <f>PROPOSTA2022!D71</f>
        <v>10</v>
      </c>
      <c r="E71" s="11">
        <f>365/5</f>
        <v>73</v>
      </c>
      <c r="F71" s="96">
        <f>((20*2)+15)*7*2</f>
        <v>770</v>
      </c>
      <c r="G71" s="96">
        <f>F71*D71*52</f>
        <v>400400</v>
      </c>
      <c r="H71" s="423">
        <f>G71*9.49396026/100*2.1*(1+'Estimacio increment IPC'!G8)*(1+'Estimacio increment IPC'!G9)*'Estimacions apats i usuaris'!K28*'Estimacions apats i usuaris'!J28*'Estimacions apats i usuaris'!I28</f>
        <v>71267.93670153369</v>
      </c>
      <c r="I71" s="143">
        <f>C71*D71*E71</f>
        <v>84176.299999999988</v>
      </c>
      <c r="J71" s="65">
        <f t="shared" si="18"/>
        <v>0.14510729946582668</v>
      </c>
      <c r="K71" s="21"/>
      <c r="L71" s="64"/>
      <c r="M71" s="66">
        <f t="shared" si="16"/>
        <v>84176.299999999988</v>
      </c>
      <c r="N71" s="66">
        <f t="shared" si="17"/>
        <v>0.14510729946582668</v>
      </c>
      <c r="O71" s="21"/>
    </row>
    <row r="72" spans="1:19">
      <c r="A72" s="67" t="s">
        <v>154</v>
      </c>
      <c r="C72" s="141">
        <f>PROPOSTA2024!C72</f>
        <v>0.19</v>
      </c>
      <c r="D72" s="11">
        <f>PROPOSTA2022!D72</f>
        <v>52</v>
      </c>
      <c r="F72" s="11">
        <f>((20*2)+15)*5</f>
        <v>275</v>
      </c>
      <c r="I72" s="143">
        <f>C72*D72*F72</f>
        <v>2717</v>
      </c>
      <c r="J72" s="65">
        <f t="shared" si="18"/>
        <v>4.6836999565038045E-3</v>
      </c>
      <c r="K72" s="21"/>
      <c r="L72" s="64"/>
      <c r="M72" s="66">
        <f t="shared" si="16"/>
        <v>2717</v>
      </c>
      <c r="N72" s="66">
        <f t="shared" si="17"/>
        <v>4.6836999565038045E-3</v>
      </c>
      <c r="O72" s="21"/>
      <c r="Q72" s="11" t="s">
        <v>109</v>
      </c>
    </row>
    <row r="73" spans="1:19">
      <c r="A73" s="94" t="s">
        <v>96</v>
      </c>
      <c r="B73" s="95"/>
      <c r="C73" s="141">
        <f>PROPOSTA2024!C73</f>
        <v>12.25</v>
      </c>
      <c r="D73" s="11">
        <f>PROPOSTA2022!D73</f>
        <v>125</v>
      </c>
      <c r="I73" s="143">
        <f>C73*D73</f>
        <v>1531.25</v>
      </c>
      <c r="J73" s="65">
        <f>I73/$H$18</f>
        <v>2.6396450343748436E-3</v>
      </c>
      <c r="K73" s="21"/>
      <c r="L73" s="66"/>
      <c r="M73" s="66">
        <f>I73</f>
        <v>1531.25</v>
      </c>
      <c r="N73" s="66">
        <f>M73/$H$18</f>
        <v>2.6396450343748436E-3</v>
      </c>
      <c r="O73" s="21"/>
      <c r="Q73" s="11" t="s">
        <v>108</v>
      </c>
    </row>
    <row r="74" spans="1:19">
      <c r="A74" s="11" t="s">
        <v>139</v>
      </c>
      <c r="C74" s="140">
        <f>ROUND(PROPOSTA2024!C74*(1+'Estimacio increment IPC'!G10),2)</f>
        <v>0.1</v>
      </c>
      <c r="D74" s="115">
        <f>(G18*12)+G18</f>
        <v>17836</v>
      </c>
      <c r="E74" s="96"/>
      <c r="I74" s="143">
        <f>D74*C74</f>
        <v>1783.6000000000001</v>
      </c>
      <c r="J74" s="65">
        <f>I74/$H$18</f>
        <v>3.0746585360398181E-3</v>
      </c>
      <c r="K74" s="21"/>
      <c r="L74" s="64"/>
      <c r="M74" s="66">
        <f t="shared" si="16"/>
        <v>1783.6000000000001</v>
      </c>
      <c r="N74" s="66">
        <f t="shared" si="17"/>
        <v>3.0746585360398181E-3</v>
      </c>
      <c r="O74" s="21"/>
      <c r="Q74" s="11" t="s">
        <v>138</v>
      </c>
    </row>
    <row r="75" spans="1:19">
      <c r="A75" s="11" t="s">
        <v>140</v>
      </c>
      <c r="C75" s="140">
        <f>PROPOSTA2024!C75</f>
        <v>0.02</v>
      </c>
      <c r="D75" s="116">
        <f>H18</f>
        <v>580096.93729999999</v>
      </c>
      <c r="E75" s="96"/>
      <c r="I75" s="143">
        <f>C75*D75</f>
        <v>11601.938746</v>
      </c>
      <c r="J75" s="65">
        <f>I75/$H$18</f>
        <v>0.02</v>
      </c>
      <c r="K75" s="21"/>
      <c r="L75" s="64"/>
      <c r="M75" s="66">
        <f t="shared" si="16"/>
        <v>11601.938746</v>
      </c>
      <c r="N75" s="66">
        <f t="shared" si="17"/>
        <v>0.02</v>
      </c>
      <c r="O75" s="21"/>
    </row>
    <row r="76" spans="1:19">
      <c r="A76" s="11" t="s">
        <v>106</v>
      </c>
      <c r="C76" s="140">
        <f>ROUND(PROPOSTA2024!C76*(1+'Estimacio increment IPC'!G10),2)</f>
        <v>0.87</v>
      </c>
      <c r="D76" s="96">
        <f>50*E76</f>
        <v>600</v>
      </c>
      <c r="E76" s="96">
        <v>12</v>
      </c>
      <c r="F76" s="96"/>
      <c r="G76" s="96"/>
      <c r="H76" s="96"/>
      <c r="I76" s="142">
        <f>C76*D76*E76</f>
        <v>6264</v>
      </c>
      <c r="J76" s="65">
        <f>I76/$H$18</f>
        <v>1.0798195262252421E-2</v>
      </c>
      <c r="K76" s="21"/>
      <c r="L76" s="64"/>
      <c r="M76" s="66">
        <f t="shared" si="16"/>
        <v>6264</v>
      </c>
      <c r="N76" s="66">
        <f t="shared" si="17"/>
        <v>1.0798195262252421E-2</v>
      </c>
      <c r="O76" s="21"/>
      <c r="Q76" s="11" t="s">
        <v>107</v>
      </c>
    </row>
    <row r="77" spans="1:19">
      <c r="A77" s="11" t="s">
        <v>142</v>
      </c>
      <c r="C77" s="140">
        <f>PROPOSTA2024!C77</f>
        <v>375</v>
      </c>
      <c r="D77" s="96">
        <f>PROPOSTA2022!D77</f>
        <v>1</v>
      </c>
      <c r="E77" s="395"/>
      <c r="F77" s="395"/>
      <c r="G77" s="96"/>
      <c r="H77" s="96"/>
      <c r="I77" s="142">
        <f>C77*D77</f>
        <v>375</v>
      </c>
      <c r="J77" s="65">
        <f t="shared" ref="J77:J85" si="20">I77/$H$18</f>
        <v>6.4644368188771677E-4</v>
      </c>
      <c r="K77" s="21"/>
      <c r="L77" s="64"/>
      <c r="M77" s="66">
        <f t="shared" si="16"/>
        <v>375</v>
      </c>
      <c r="N77" s="66">
        <f t="shared" si="17"/>
        <v>6.4644368188771677E-4</v>
      </c>
      <c r="O77" s="21"/>
    </row>
    <row r="78" spans="1:19">
      <c r="A78" s="11" t="s">
        <v>141</v>
      </c>
      <c r="C78" s="140">
        <f>ROUND(PROPOSTA2024!C78*(1+'Estimacio increment IPC'!G10),2)</f>
        <v>5161.83</v>
      </c>
      <c r="D78" s="96">
        <v>1</v>
      </c>
      <c r="E78" s="96"/>
      <c r="F78" s="96"/>
      <c r="G78" s="96"/>
      <c r="H78" s="96"/>
      <c r="I78" s="142">
        <f>C78</f>
        <v>5161.83</v>
      </c>
      <c r="J78" s="65">
        <f t="shared" si="20"/>
        <v>8.8982197079425958E-3</v>
      </c>
      <c r="K78" s="21"/>
      <c r="L78" s="64"/>
      <c r="M78" s="66">
        <f t="shared" si="16"/>
        <v>5161.83</v>
      </c>
      <c r="N78" s="66">
        <f t="shared" si="17"/>
        <v>8.8982197079425958E-3</v>
      </c>
      <c r="O78" s="21"/>
    </row>
    <row r="79" spans="1:19">
      <c r="A79" s="11" t="s">
        <v>97</v>
      </c>
      <c r="C79" s="140">
        <f>ROUND(PROPOSTA2024!C79*(1+'Estimacio increment IPC'!G10),2)</f>
        <v>1102.49</v>
      </c>
      <c r="D79" s="96"/>
      <c r="E79" s="96">
        <f>PROPOSTA2022!E79</f>
        <v>12</v>
      </c>
      <c r="F79" s="96"/>
      <c r="G79" s="96"/>
      <c r="H79" s="96"/>
      <c r="I79" s="142">
        <f>C79*E79</f>
        <v>13229.880000000001</v>
      </c>
      <c r="J79" s="65">
        <f t="shared" si="20"/>
        <v>2.2806326235020446E-2</v>
      </c>
      <c r="K79" s="21"/>
      <c r="L79" s="64"/>
      <c r="M79" s="66">
        <f t="shared" si="16"/>
        <v>13229.880000000001</v>
      </c>
      <c r="N79" s="66">
        <f t="shared" si="17"/>
        <v>2.2806326235020446E-2</v>
      </c>
      <c r="O79" s="21"/>
    </row>
    <row r="80" spans="1:19">
      <c r="A80" s="11" t="s">
        <v>229</v>
      </c>
      <c r="C80" s="142">
        <f>ROUND(PROPOSTA2024!C80*(1+'Estimacio increment IPC'!G10),2)</f>
        <v>30.96</v>
      </c>
      <c r="D80" s="116">
        <f>G18</f>
        <v>1372</v>
      </c>
      <c r="E80" s="96"/>
      <c r="F80" s="96"/>
      <c r="G80" s="96"/>
      <c r="H80" s="96"/>
      <c r="I80" s="142">
        <f>C80*D80</f>
        <v>42477.120000000003</v>
      </c>
      <c r="J80" s="65">
        <f t="shared" si="20"/>
        <v>7.3224175596763669E-2</v>
      </c>
      <c r="K80" s="21"/>
      <c r="L80" s="64"/>
      <c r="M80" s="66">
        <f t="shared" si="16"/>
        <v>42477.120000000003</v>
      </c>
      <c r="N80" s="66">
        <f t="shared" si="17"/>
        <v>7.3224175596763669E-2</v>
      </c>
      <c r="O80" s="21"/>
      <c r="Q80" s="11" t="s">
        <v>110</v>
      </c>
    </row>
    <row r="81" spans="1:22">
      <c r="A81" s="11" t="s">
        <v>101</v>
      </c>
      <c r="C81" s="140">
        <f>PROPOSTA2024!C81</f>
        <v>50</v>
      </c>
      <c r="D81" s="11">
        <f>D21+D25</f>
        <v>17</v>
      </c>
      <c r="I81" s="143">
        <f>C81*D81</f>
        <v>850</v>
      </c>
      <c r="J81" s="65">
        <f t="shared" si="20"/>
        <v>1.4652723456121581E-3</v>
      </c>
      <c r="K81" s="21"/>
      <c r="L81" s="64"/>
      <c r="M81" s="66">
        <f>I81</f>
        <v>850</v>
      </c>
      <c r="N81" s="66">
        <f t="shared" si="17"/>
        <v>1.4652723456121581E-3</v>
      </c>
      <c r="O81" s="21"/>
    </row>
    <row r="82" spans="1:22">
      <c r="A82" s="11" t="s">
        <v>102</v>
      </c>
      <c r="C82" s="140">
        <f>ROUND(PROPOSTA2024!C82*(1+'Estimacio increment IPC'!G10),2)</f>
        <v>17.87</v>
      </c>
      <c r="D82" s="11">
        <f>D81</f>
        <v>17</v>
      </c>
      <c r="E82" s="96">
        <v>12</v>
      </c>
      <c r="F82" s="96"/>
      <c r="G82" s="96"/>
      <c r="H82" s="96"/>
      <c r="I82" s="142">
        <f>C82*E82*D82</f>
        <v>3645.48</v>
      </c>
      <c r="J82" s="65">
        <f t="shared" si="20"/>
        <v>6.2842600358614239E-3</v>
      </c>
      <c r="K82" s="21"/>
      <c r="L82" s="64"/>
      <c r="M82" s="66">
        <f t="shared" si="16"/>
        <v>3645.48</v>
      </c>
      <c r="N82" s="66">
        <f t="shared" si="17"/>
        <v>6.2842600358614239E-3</v>
      </c>
      <c r="O82" s="21"/>
      <c r="Q82" s="11" t="s">
        <v>169</v>
      </c>
    </row>
    <row r="83" spans="1:22">
      <c r="A83" s="11" t="s">
        <v>258</v>
      </c>
      <c r="C83" s="21"/>
      <c r="I83" s="245">
        <f>ROUND(PROPOSTA2024!I83*(1+'Estimacio increment IPC'!G10),2)</f>
        <v>4758.6000000000004</v>
      </c>
      <c r="J83" s="65">
        <f t="shared" si="20"/>
        <v>8.2031117456823725E-3</v>
      </c>
      <c r="K83" s="21"/>
      <c r="L83" s="64"/>
      <c r="M83" s="66"/>
      <c r="N83" s="66"/>
      <c r="O83" s="21"/>
    </row>
    <row r="84" spans="1:22">
      <c r="A84" s="11" t="s">
        <v>259</v>
      </c>
      <c r="C84" s="21"/>
      <c r="I84" s="245">
        <v>20000</v>
      </c>
      <c r="J84" s="65">
        <f t="shared" si="20"/>
        <v>3.4476996367344893E-2</v>
      </c>
      <c r="K84" s="21"/>
      <c r="L84" s="64"/>
      <c r="M84" s="66">
        <f t="shared" si="16"/>
        <v>20000</v>
      </c>
      <c r="N84" s="66">
        <f t="shared" si="17"/>
        <v>3.4476996367344893E-2</v>
      </c>
      <c r="O84" s="21"/>
    </row>
    <row r="85" spans="1:22">
      <c r="A85" s="11" t="s">
        <v>260</v>
      </c>
      <c r="C85" s="21"/>
      <c r="I85" s="140">
        <f>ROUND(PROPOSTA2024!I85*(1+'Estimacio increment IPC'!G10),2)</f>
        <v>4052.59</v>
      </c>
      <c r="J85" s="65">
        <f t="shared" si="20"/>
        <v>6.9860565354169131E-3</v>
      </c>
      <c r="K85" s="21"/>
      <c r="L85" s="64"/>
      <c r="M85" s="66"/>
      <c r="N85" s="66"/>
      <c r="O85" s="21"/>
    </row>
    <row r="86" spans="1:22" ht="15" thickBot="1">
      <c r="K86" s="21"/>
      <c r="O86" s="21"/>
      <c r="T86" s="168"/>
      <c r="V86" s="168"/>
    </row>
    <row r="87" spans="1:22" ht="15" thickBot="1">
      <c r="A87" s="405" t="s">
        <v>94</v>
      </c>
      <c r="B87" s="406"/>
      <c r="C87" s="406"/>
      <c r="D87" s="406"/>
      <c r="E87" s="406"/>
      <c r="F87" s="406"/>
      <c r="G87" s="406"/>
      <c r="H87" s="406"/>
      <c r="I87" s="407">
        <f>SUM(I64:I85)</f>
        <v>360775.688746</v>
      </c>
      <c r="J87" s="407">
        <f>I87/$H$18</f>
        <v>0.62192310551610974</v>
      </c>
      <c r="K87" s="21"/>
      <c r="L87" s="363">
        <f>J87/$J$100</f>
        <v>8.182366422635054E-2</v>
      </c>
      <c r="M87" s="407">
        <f>SUM(M64:M84)</f>
        <v>351964.498746</v>
      </c>
      <c r="N87" s="407">
        <f>M87/$H$18</f>
        <v>0.60673393723501046</v>
      </c>
      <c r="O87" s="21"/>
    </row>
    <row r="88" spans="1:22" ht="15" thickBot="1">
      <c r="K88" s="21"/>
      <c r="O88" s="21"/>
    </row>
    <row r="89" spans="1:22" ht="15" thickBot="1">
      <c r="A89" s="405" t="s">
        <v>83</v>
      </c>
      <c r="B89" s="406"/>
      <c r="C89" s="406"/>
      <c r="D89" s="406"/>
      <c r="E89" s="406"/>
      <c r="F89" s="406"/>
      <c r="G89" s="406"/>
      <c r="H89" s="406"/>
      <c r="I89" s="407">
        <f>I60+I87</f>
        <v>3000432.9395922278</v>
      </c>
      <c r="J89" s="407">
        <f>I89/$H$18</f>
        <v>5.1722957779391603</v>
      </c>
      <c r="K89" s="21"/>
      <c r="L89" s="363">
        <f>J89/$J$100</f>
        <v>0.68049601190207232</v>
      </c>
      <c r="M89" s="407">
        <f>M60+M87</f>
        <v>2991621.7495922279</v>
      </c>
      <c r="N89" s="407">
        <f>M89/$H$18</f>
        <v>5.1571066096580616</v>
      </c>
      <c r="O89" s="21"/>
    </row>
    <row r="90" spans="1:22" ht="15" thickBot="1">
      <c r="K90" s="21"/>
      <c r="O90" s="21"/>
    </row>
    <row r="91" spans="1:22" ht="15" thickBot="1">
      <c r="A91" s="408" t="s">
        <v>84</v>
      </c>
      <c r="B91" s="409"/>
      <c r="C91" s="409"/>
      <c r="D91" s="409"/>
      <c r="E91" s="409"/>
      <c r="F91" s="409"/>
      <c r="G91" s="409"/>
      <c r="H91" s="409"/>
      <c r="I91" s="410">
        <f>I50+I89</f>
        <v>4147869.4195922278</v>
      </c>
      <c r="J91" s="410">
        <f>I91/$H$18</f>
        <v>7.1503039455751107</v>
      </c>
      <c r="K91" s="21"/>
      <c r="L91" s="363">
        <f>J91/$J$100</f>
        <v>0.94073377234242717</v>
      </c>
      <c r="M91" s="410">
        <f>M50+M89</f>
        <v>4139058.2295922278</v>
      </c>
      <c r="N91" s="410">
        <f>M91/$H$18</f>
        <v>7.135114777294012</v>
      </c>
      <c r="O91" s="21"/>
    </row>
    <row r="92" spans="1:22">
      <c r="K92" s="21"/>
      <c r="O92" s="21"/>
    </row>
    <row r="93" spans="1:22">
      <c r="A93" s="349" t="s">
        <v>157</v>
      </c>
      <c r="K93" s="21"/>
      <c r="O93" s="21"/>
    </row>
    <row r="94" spans="1:22" ht="87">
      <c r="A94" s="412" t="s">
        <v>222</v>
      </c>
      <c r="B94" s="268">
        <f>PROPOSTA2024!B94</f>
        <v>2.5000000000000001E-2</v>
      </c>
      <c r="I94" s="66">
        <f>I91*B94</f>
        <v>103696.73548980569</v>
      </c>
      <c r="J94" s="65">
        <f>I94/$H$18</f>
        <v>0.17875759863937779</v>
      </c>
      <c r="K94" s="66"/>
      <c r="L94" s="363">
        <f>J94/$J$100</f>
        <v>2.3518344308560681E-2</v>
      </c>
      <c r="M94" s="66">
        <f>I94</f>
        <v>103696.73548980569</v>
      </c>
      <c r="N94" s="66">
        <f t="shared" ref="N94:N104" si="21">M94/$H$18</f>
        <v>0.17875759863937779</v>
      </c>
      <c r="O94" s="66"/>
    </row>
    <row r="96" spans="1:22">
      <c r="A96" s="96" t="s">
        <v>223</v>
      </c>
      <c r="B96" s="268">
        <f>PROPOSTA2024!B96</f>
        <v>3.7999999999999999E-2</v>
      </c>
      <c r="C96" s="96"/>
      <c r="D96" s="96"/>
      <c r="E96" s="96"/>
      <c r="F96" s="96"/>
      <c r="G96" s="96"/>
      <c r="H96" s="96" t="s">
        <v>172</v>
      </c>
      <c r="I96" s="167">
        <f>I91*B96</f>
        <v>157619.03794450464</v>
      </c>
      <c r="J96" s="396">
        <f>I96/$H$18</f>
        <v>0.2717115499318542</v>
      </c>
      <c r="K96" s="66"/>
      <c r="L96" s="363">
        <f>J96/$J$100</f>
        <v>3.574788334901223E-2</v>
      </c>
      <c r="M96" s="66">
        <f>I96</f>
        <v>157619.03794450464</v>
      </c>
      <c r="N96" s="66">
        <f t="shared" si="21"/>
        <v>0.2717115499318542</v>
      </c>
      <c r="O96" s="66"/>
    </row>
    <row r="97" spans="1:15" ht="15" thickBot="1">
      <c r="N97" s="66"/>
    </row>
    <row r="98" spans="1:15" ht="15" thickBot="1">
      <c r="A98" s="413" t="s">
        <v>85</v>
      </c>
      <c r="B98" s="414"/>
      <c r="C98" s="414"/>
      <c r="D98" s="414"/>
      <c r="E98" s="414"/>
      <c r="F98" s="414"/>
      <c r="G98" s="414"/>
      <c r="H98" s="414"/>
      <c r="I98" s="415">
        <f>I94+I96</f>
        <v>261315.77343431034</v>
      </c>
      <c r="J98" s="415">
        <f>I98/$H$18</f>
        <v>0.45046914857123199</v>
      </c>
      <c r="K98" s="65"/>
      <c r="L98" s="363">
        <f>J98/$J$100</f>
        <v>5.9266227657572911E-2</v>
      </c>
      <c r="M98" s="415">
        <f>M94+M96</f>
        <v>261315.77343431034</v>
      </c>
      <c r="N98" s="66">
        <f t="shared" si="21"/>
        <v>0.45046914857123199</v>
      </c>
      <c r="O98" s="65"/>
    </row>
    <row r="99" spans="1:15" ht="15" thickBot="1">
      <c r="N99" s="66"/>
    </row>
    <row r="100" spans="1:15" ht="15" thickBot="1">
      <c r="A100" s="413" t="s">
        <v>86</v>
      </c>
      <c r="B100" s="414"/>
      <c r="C100" s="414"/>
      <c r="D100" s="414"/>
      <c r="E100" s="414"/>
      <c r="F100" s="414"/>
      <c r="G100" s="414"/>
      <c r="H100" s="414"/>
      <c r="I100" s="415">
        <f>I91+I98</f>
        <v>4409185.193026538</v>
      </c>
      <c r="J100" s="416">
        <f>I100/$H$18</f>
        <v>7.6007730941463425</v>
      </c>
      <c r="K100" s="65"/>
      <c r="L100" s="363">
        <f>J100/$J$100</f>
        <v>1</v>
      </c>
      <c r="M100" s="415">
        <f>M91+M98</f>
        <v>4400374.0030265385</v>
      </c>
      <c r="N100" s="66">
        <f t="shared" si="21"/>
        <v>7.5855839258652447</v>
      </c>
      <c r="O100" s="65"/>
    </row>
    <row r="101" spans="1:15">
      <c r="H101" s="66"/>
      <c r="I101" s="66"/>
      <c r="N101" s="66"/>
    </row>
    <row r="102" spans="1:15">
      <c r="A102" s="403" t="s">
        <v>87</v>
      </c>
      <c r="B102" s="418">
        <v>0.1</v>
      </c>
      <c r="C102" s="403"/>
      <c r="D102" s="403"/>
      <c r="E102" s="403"/>
      <c r="F102" s="403"/>
      <c r="G102" s="403"/>
      <c r="H102" s="403"/>
      <c r="I102" s="65">
        <f>I100*B102</f>
        <v>440918.51930265385</v>
      </c>
      <c r="J102" s="65">
        <f>I102/$H$18</f>
        <v>0.76007730941463436</v>
      </c>
      <c r="K102" s="65"/>
      <c r="L102" s="65"/>
      <c r="M102" s="65">
        <f>M100*B102</f>
        <v>440037.4003026539</v>
      </c>
      <c r="N102" s="66">
        <f t="shared" si="21"/>
        <v>0.75855839258652458</v>
      </c>
      <c r="O102" s="65"/>
    </row>
    <row r="103" spans="1:15" ht="15" thickBot="1">
      <c r="N103" s="66"/>
    </row>
    <row r="104" spans="1:15" ht="15" thickBot="1">
      <c r="A104" s="413" t="s">
        <v>88</v>
      </c>
      <c r="B104" s="414"/>
      <c r="C104" s="414"/>
      <c r="D104" s="414"/>
      <c r="E104" s="414"/>
      <c r="F104" s="414"/>
      <c r="G104" s="414"/>
      <c r="H104" s="414"/>
      <c r="I104" s="415">
        <f>I100+I102</f>
        <v>4850103.7123291921</v>
      </c>
      <c r="J104" s="415">
        <f>I104/$H$18</f>
        <v>8.3608504035609776</v>
      </c>
      <c r="K104" s="65"/>
      <c r="L104" s="363">
        <f>J104/$J$100</f>
        <v>1.1000000000000001</v>
      </c>
      <c r="M104" s="415">
        <f>M100+M102</f>
        <v>4840411.4033291927</v>
      </c>
      <c r="N104" s="66">
        <f t="shared" si="21"/>
        <v>8.3441423184517696</v>
      </c>
      <c r="O104" s="65"/>
    </row>
  </sheetData>
  <mergeCells count="12">
    <mergeCell ref="C10:E10"/>
    <mergeCell ref="I10:N10"/>
    <mergeCell ref="C11:E11"/>
    <mergeCell ref="C12:E12"/>
    <mergeCell ref="C13:E13"/>
    <mergeCell ref="B9:C9"/>
    <mergeCell ref="D9:E9"/>
    <mergeCell ref="B5:E5"/>
    <mergeCell ref="I5:L5"/>
    <mergeCell ref="D6:E6"/>
    <mergeCell ref="D7:E7"/>
    <mergeCell ref="D8:E8"/>
  </mergeCells>
  <pageMargins left="0.7" right="0.7" top="0.75" bottom="0.75" header="0.3" footer="0.3"/>
  <pageSetup paperSize="8" fitToHeight="0" orientation="landscape" r:id="rId1"/>
  <customProperties>
    <customPr name="EpmWorksheetKeyString_GUID" r:id="rId2"/>
  </customProperties>
  <drawing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W104"/>
  <sheetViews>
    <sheetView topLeftCell="A7" zoomScaleNormal="100" workbookViewId="0">
      <selection activeCell="B39" sqref="B39:B41"/>
    </sheetView>
  </sheetViews>
  <sheetFormatPr defaultColWidth="8.7265625" defaultRowHeight="14.5"/>
  <cols>
    <col min="1" max="1" width="45.1796875" style="11" customWidth="1"/>
    <col min="2" max="2" width="9.453125" style="11" bestFit="1" customWidth="1"/>
    <col min="3" max="3" width="13.1796875" style="11" bestFit="1" customWidth="1"/>
    <col min="4" max="4" width="10.7265625" style="11" customWidth="1"/>
    <col min="5" max="5" width="16.453125" style="11" bestFit="1" customWidth="1"/>
    <col min="6" max="6" width="15.1796875" style="11" bestFit="1" customWidth="1"/>
    <col min="7" max="7" width="16.7265625" style="11" bestFit="1" customWidth="1"/>
    <col min="8" max="8" width="22.54296875" style="11" bestFit="1" customWidth="1"/>
    <col min="9" max="9" width="17" style="11" bestFit="1" customWidth="1"/>
    <col min="10" max="10" width="13.453125" style="11" bestFit="1" customWidth="1"/>
    <col min="11" max="11" width="16.26953125" style="11" bestFit="1" customWidth="1"/>
    <col min="12" max="12" width="8.1796875" style="11" bestFit="1" customWidth="1"/>
    <col min="13" max="13" width="16.26953125" style="11" customWidth="1"/>
    <col min="14" max="14" width="17.453125" style="11" bestFit="1" customWidth="1"/>
    <col min="15" max="15" width="14.7265625" style="11" customWidth="1"/>
    <col min="16" max="16" width="7.26953125" style="11" bestFit="1" customWidth="1"/>
    <col min="17" max="19" width="8.7265625" style="11"/>
    <col min="20" max="21" width="9.54296875" style="11" bestFit="1" customWidth="1"/>
    <col min="22" max="22" width="8.7265625" style="11"/>
    <col min="23" max="23" width="9.54296875" style="11" bestFit="1" customWidth="1"/>
    <col min="24" max="16384" width="8.7265625" style="11"/>
  </cols>
  <sheetData>
    <row r="1" spans="1:14" ht="21">
      <c r="A1" s="366" t="s">
        <v>200</v>
      </c>
      <c r="B1" s="366"/>
      <c r="C1" s="366"/>
      <c r="D1" s="366"/>
      <c r="E1" s="367"/>
      <c r="F1" s="367"/>
      <c r="G1" s="366"/>
      <c r="H1" s="366"/>
    </row>
    <row r="2" spans="1:14">
      <c r="A2" s="100">
        <v>2026</v>
      </c>
      <c r="B2" s="100"/>
      <c r="C2" s="100"/>
      <c r="D2" s="100"/>
      <c r="E2" s="101"/>
      <c r="F2" s="101"/>
      <c r="G2" s="100"/>
      <c r="H2" s="100"/>
    </row>
    <row r="3" spans="1:14">
      <c r="A3" s="368" t="s">
        <v>173</v>
      </c>
      <c r="B3" s="100"/>
      <c r="C3" s="100"/>
      <c r="D3" s="100"/>
      <c r="E3" s="101"/>
      <c r="F3" s="101"/>
      <c r="G3" s="100"/>
      <c r="H3" s="100"/>
    </row>
    <row r="4" spans="1:14">
      <c r="A4" s="100"/>
      <c r="B4" s="100"/>
      <c r="C4" s="100"/>
      <c r="D4" s="100"/>
      <c r="E4" s="101"/>
      <c r="F4" s="101"/>
      <c r="G4" s="100"/>
      <c r="H4" s="100"/>
    </row>
    <row r="5" spans="1:14" ht="60">
      <c r="A5" s="102" t="s">
        <v>174</v>
      </c>
      <c r="B5" s="540" t="s">
        <v>201</v>
      </c>
      <c r="C5" s="540"/>
      <c r="D5" s="540"/>
      <c r="E5" s="540"/>
      <c r="F5" s="103"/>
      <c r="G5" s="107" t="s">
        <v>186</v>
      </c>
      <c r="H5" s="369" t="s">
        <v>331</v>
      </c>
      <c r="I5" s="531" t="s">
        <v>330</v>
      </c>
      <c r="J5" s="532"/>
      <c r="K5" s="532"/>
      <c r="L5" s="533"/>
      <c r="M5" s="100"/>
      <c r="N5" s="100"/>
    </row>
    <row r="6" spans="1:14" ht="16.5">
      <c r="A6" s="102"/>
      <c r="B6" s="370" t="s">
        <v>175</v>
      </c>
      <c r="C6" s="370" t="s">
        <v>176</v>
      </c>
      <c r="D6" s="541" t="s">
        <v>177</v>
      </c>
      <c r="E6" s="542"/>
      <c r="F6" s="103"/>
      <c r="G6" s="102" t="s">
        <v>187</v>
      </c>
      <c r="H6" s="371">
        <f>PROPOSTA2022!H6</f>
        <v>8</v>
      </c>
      <c r="I6" s="372"/>
      <c r="J6" s="108"/>
      <c r="K6" s="108"/>
      <c r="L6" s="108"/>
      <c r="M6" s="108"/>
      <c r="N6" s="108"/>
    </row>
    <row r="7" spans="1:14">
      <c r="A7" s="373" t="s">
        <v>178</v>
      </c>
      <c r="B7" s="374">
        <v>45352</v>
      </c>
      <c r="C7" s="374">
        <v>46081</v>
      </c>
      <c r="D7" s="541">
        <v>2</v>
      </c>
      <c r="E7" s="542"/>
      <c r="F7" s="103"/>
      <c r="G7" s="102" t="s">
        <v>188</v>
      </c>
      <c r="H7" s="371">
        <f>PROPOSTA2022!H7</f>
        <v>40</v>
      </c>
      <c r="I7" s="104" t="s">
        <v>189</v>
      </c>
      <c r="J7" s="104" t="s">
        <v>190</v>
      </c>
      <c r="K7" s="104" t="s">
        <v>191</v>
      </c>
      <c r="L7" s="104" t="s">
        <v>192</v>
      </c>
      <c r="M7" s="104" t="s">
        <v>193</v>
      </c>
      <c r="N7" s="104" t="s">
        <v>194</v>
      </c>
    </row>
    <row r="8" spans="1:14">
      <c r="A8" s="373" t="s">
        <v>179</v>
      </c>
      <c r="B8" s="374">
        <v>46082</v>
      </c>
      <c r="C8" s="374">
        <v>46812</v>
      </c>
      <c r="D8" s="541">
        <v>2</v>
      </c>
      <c r="E8" s="542"/>
      <c r="F8" s="103"/>
      <c r="G8" s="102" t="s">
        <v>195</v>
      </c>
      <c r="H8" s="371" t="e">
        <f>N8</f>
        <v>#REF!</v>
      </c>
      <c r="I8" s="371" t="e">
        <f>#REF!</f>
        <v>#REF!</v>
      </c>
      <c r="J8" s="371" t="e">
        <f>#REF!</f>
        <v>#REF!</v>
      </c>
      <c r="K8" s="371" t="e">
        <f>#REF!</f>
        <v>#REF!</v>
      </c>
      <c r="L8" s="371" t="e">
        <f>#REF!</f>
        <v>#REF!</v>
      </c>
      <c r="M8" s="377" t="e">
        <f>#REF!</f>
        <v>#REF!</v>
      </c>
      <c r="N8" s="371" t="e">
        <f>I8-J8-K8-L8-M8</f>
        <v>#REF!</v>
      </c>
    </row>
    <row r="9" spans="1:14">
      <c r="A9" s="373" t="s">
        <v>50</v>
      </c>
      <c r="B9" s="543"/>
      <c r="C9" s="544"/>
      <c r="D9" s="541">
        <f>SUM(D7:D8)</f>
        <v>4</v>
      </c>
      <c r="E9" s="542"/>
      <c r="F9" s="103"/>
      <c r="G9" s="102" t="s">
        <v>196</v>
      </c>
      <c r="H9" s="371" t="e">
        <f>H6*H8</f>
        <v>#REF!</v>
      </c>
      <c r="I9" s="356"/>
      <c r="J9" s="100"/>
      <c r="K9" s="101"/>
      <c r="L9" s="101"/>
      <c r="M9" s="100"/>
      <c r="N9" s="100"/>
    </row>
    <row r="10" spans="1:14">
      <c r="A10" s="379" t="s">
        <v>180</v>
      </c>
      <c r="B10" s="380">
        <f>PROPOSTA2022!B10</f>
        <v>1</v>
      </c>
      <c r="C10" s="536"/>
      <c r="D10" s="536"/>
      <c r="E10" s="536"/>
      <c r="F10" s="103"/>
      <c r="G10" s="102" t="s">
        <v>197</v>
      </c>
      <c r="H10" s="371">
        <f>PROPOSTA2022!H10</f>
        <v>1791</v>
      </c>
      <c r="I10" s="534"/>
      <c r="J10" s="535"/>
      <c r="K10" s="535"/>
      <c r="L10" s="535"/>
      <c r="M10" s="535"/>
      <c r="N10" s="535"/>
    </row>
    <row r="11" spans="1:14" ht="15.5">
      <c r="A11" s="373" t="s">
        <v>181</v>
      </c>
      <c r="B11" s="381" t="str">
        <f>PROPOSTA2022!B11</f>
        <v>LOT 1</v>
      </c>
      <c r="C11" s="537" t="str">
        <f>PROPOSTA2022!C11</f>
        <v>SERVEI D'ÀPATS A DOMICILI</v>
      </c>
      <c r="D11" s="538"/>
      <c r="E11" s="539"/>
      <c r="F11" s="103"/>
      <c r="G11" s="356"/>
      <c r="H11" s="356"/>
      <c r="I11" s="356"/>
      <c r="J11" s="356"/>
      <c r="K11" s="356"/>
      <c r="L11" s="356"/>
      <c r="M11" s="356"/>
      <c r="N11" s="356"/>
    </row>
    <row r="12" spans="1:14" ht="15" thickBot="1">
      <c r="A12" s="102" t="s">
        <v>183</v>
      </c>
      <c r="B12" s="380">
        <f>PROPOSTA2022!B12</f>
        <v>7</v>
      </c>
      <c r="C12" s="530" t="str">
        <f>PROPOSTA2022!C12</f>
        <v>De dilluns a diumenge</v>
      </c>
      <c r="D12" s="530"/>
      <c r="E12" s="530"/>
      <c r="F12" s="103"/>
      <c r="G12" s="105" t="s">
        <v>198</v>
      </c>
      <c r="H12" s="109"/>
      <c r="I12" s="356"/>
      <c r="J12" s="356"/>
      <c r="K12" s="356"/>
      <c r="L12" s="356"/>
      <c r="M12" s="110"/>
      <c r="N12" s="356"/>
    </row>
    <row r="13" spans="1:14" ht="15" thickBot="1">
      <c r="A13" s="102" t="s">
        <v>185</v>
      </c>
      <c r="B13" s="380">
        <f>PROPOSTA2022!B13</f>
        <v>365</v>
      </c>
      <c r="C13" s="530" t="str">
        <f>PROPOSTA2022!C13</f>
        <v>De dilluns a diumenge</v>
      </c>
      <c r="D13" s="530"/>
      <c r="E13" s="530"/>
      <c r="F13" s="103"/>
      <c r="G13" s="111" t="s">
        <v>199</v>
      </c>
      <c r="H13" s="112">
        <f>'Original subrogació 2022'!I1</f>
        <v>0.32500000000000001</v>
      </c>
      <c r="I13" s="356"/>
      <c r="J13" s="100"/>
      <c r="K13" s="101"/>
      <c r="L13" s="101"/>
      <c r="M13" s="100"/>
      <c r="N13" s="100"/>
    </row>
    <row r="14" spans="1:14">
      <c r="A14" s="105"/>
      <c r="B14" s="356"/>
      <c r="C14" s="356"/>
      <c r="D14" s="106"/>
      <c r="E14" s="106"/>
      <c r="F14" s="106"/>
      <c r="G14" s="100"/>
      <c r="H14" s="100"/>
    </row>
    <row r="15" spans="1:14">
      <c r="M15" s="349" t="s">
        <v>145</v>
      </c>
      <c r="N15" s="349"/>
    </row>
    <row r="16" spans="1:14">
      <c r="G16" s="11" t="s">
        <v>155</v>
      </c>
      <c r="H16" s="11" t="s">
        <v>146</v>
      </c>
      <c r="I16" s="349" t="s">
        <v>148</v>
      </c>
      <c r="J16" s="349" t="s">
        <v>150</v>
      </c>
      <c r="K16" s="349" t="s">
        <v>143</v>
      </c>
      <c r="L16" s="349"/>
      <c r="M16" s="349" t="s">
        <v>151</v>
      </c>
      <c r="N16" s="349" t="s">
        <v>153</v>
      </c>
    </row>
    <row r="17" spans="1:15">
      <c r="G17" s="11" t="s">
        <v>156</v>
      </c>
      <c r="H17" s="11" t="s">
        <v>147</v>
      </c>
      <c r="I17" s="349" t="s">
        <v>149</v>
      </c>
      <c r="J17" s="349" t="s">
        <v>149</v>
      </c>
      <c r="K17" s="349" t="s">
        <v>144</v>
      </c>
      <c r="L17" s="349" t="s">
        <v>72</v>
      </c>
      <c r="M17" s="349" t="s">
        <v>152</v>
      </c>
      <c r="N17" s="349" t="s">
        <v>152</v>
      </c>
    </row>
    <row r="18" spans="1:15">
      <c r="G18" s="116">
        <f>'Estimacions apats i usuaris'!L34</f>
        <v>1413</v>
      </c>
      <c r="H18" s="116">
        <f>'Estimacions apats i usuaris'!L32</f>
        <v>597499.84541900002</v>
      </c>
    </row>
    <row r="19" spans="1:15" ht="29">
      <c r="B19" s="11" t="s">
        <v>112</v>
      </c>
      <c r="C19" s="11" t="s">
        <v>78</v>
      </c>
      <c r="D19" s="412" t="s">
        <v>79</v>
      </c>
      <c r="E19" s="11" t="s">
        <v>80</v>
      </c>
      <c r="F19" s="11" t="s">
        <v>63</v>
      </c>
      <c r="G19" s="11" t="s">
        <v>66</v>
      </c>
      <c r="H19" s="11" t="s">
        <v>81</v>
      </c>
      <c r="I19" s="11" t="s">
        <v>50</v>
      </c>
    </row>
    <row r="20" spans="1:15">
      <c r="A20" s="349" t="s">
        <v>73</v>
      </c>
    </row>
    <row r="21" spans="1:15">
      <c r="A21" s="11" t="s">
        <v>204</v>
      </c>
      <c r="B21" s="268">
        <f>'Despeses Personal 2023'!AA8</f>
        <v>1</v>
      </c>
      <c r="C21" s="347" t="e">
        <f>$H$9*D21</f>
        <v>#REF!</v>
      </c>
      <c r="D21" s="11">
        <f>PROPOSTA2025!D21</f>
        <v>16</v>
      </c>
      <c r="E21" s="420">
        <f>ROUND(PROPOSTA2025!E21*(1+PROPOSTA2025!$B$31),2)</f>
        <v>364623.12</v>
      </c>
      <c r="F21" s="420">
        <f>ROUND(E21*$H$13,2)</f>
        <v>118502.51</v>
      </c>
      <c r="G21" s="420">
        <f>E21+F21</f>
        <v>483125.63</v>
      </c>
      <c r="H21" s="420">
        <f>ROUND(G21/14,2)</f>
        <v>34508.97</v>
      </c>
      <c r="I21" s="420">
        <f>G21+H21</f>
        <v>517634.6</v>
      </c>
      <c r="J21" s="358">
        <f>I21/$H$18</f>
        <v>0.86633428270932167</v>
      </c>
      <c r="K21" s="66"/>
      <c r="L21" s="66"/>
      <c r="M21" s="66">
        <f>I21</f>
        <v>517634.6</v>
      </c>
      <c r="N21" s="66">
        <f>M21/$H$18</f>
        <v>0.86633428270932167</v>
      </c>
      <c r="O21" s="66"/>
    </row>
    <row r="22" spans="1:15">
      <c r="A22" s="11" t="s">
        <v>205</v>
      </c>
      <c r="B22" s="268">
        <f>'Despeses Personal 2023'!AA5</f>
        <v>0.91666666666666674</v>
      </c>
      <c r="C22" s="347" t="e">
        <f t="shared" ref="C22:C29" si="0">$H$9*D22</f>
        <v>#REF!</v>
      </c>
      <c r="D22" s="11">
        <f>PROPOSTA2025!D22</f>
        <v>6</v>
      </c>
      <c r="E22" s="420">
        <f>ROUND(PROPOSTA2025!E22*(1+PROPOSTA2025!$B$31),2)</f>
        <v>114330.32</v>
      </c>
      <c r="F22" s="420">
        <f>ROUND(E22*$H$13,2)</f>
        <v>37157.35</v>
      </c>
      <c r="G22" s="420">
        <f>E22+F22</f>
        <v>151487.67000000001</v>
      </c>
      <c r="H22" s="420">
        <f>ROUND(G22/14,2)</f>
        <v>10820.55</v>
      </c>
      <c r="I22" s="420">
        <f>G22+H22</f>
        <v>162308.22</v>
      </c>
      <c r="J22" s="358">
        <f t="shared" ref="J22:J40" si="1">I22/$H$18</f>
        <v>0.27164562676360271</v>
      </c>
      <c r="K22" s="66"/>
      <c r="L22" s="66"/>
      <c r="M22" s="66">
        <f t="shared" ref="M22:M33" si="2">I22</f>
        <v>162308.22</v>
      </c>
      <c r="N22" s="66">
        <f t="shared" ref="N22:N36" si="3">M22/$H$18</f>
        <v>0.27164562676360271</v>
      </c>
      <c r="O22" s="66"/>
    </row>
    <row r="23" spans="1:15">
      <c r="C23" s="347"/>
      <c r="E23" s="420"/>
      <c r="F23" s="357"/>
      <c r="G23" s="357"/>
      <c r="H23" s="357"/>
      <c r="I23" s="357"/>
      <c r="J23" s="357"/>
      <c r="K23" s="66"/>
      <c r="L23" s="66"/>
      <c r="M23" s="66"/>
      <c r="N23" s="66"/>
      <c r="O23" s="66"/>
    </row>
    <row r="24" spans="1:15">
      <c r="A24" s="349" t="s">
        <v>74</v>
      </c>
      <c r="C24" s="347"/>
      <c r="E24" s="420"/>
      <c r="F24" s="357"/>
      <c r="G24" s="357"/>
      <c r="H24" s="357"/>
      <c r="I24" s="357"/>
      <c r="J24" s="357"/>
      <c r="M24" s="66"/>
      <c r="N24" s="66"/>
    </row>
    <row r="25" spans="1:15">
      <c r="A25" s="11" t="s">
        <v>206</v>
      </c>
      <c r="B25" s="268">
        <f>'Despeses Personal 2023'!AA10</f>
        <v>1</v>
      </c>
      <c r="C25" s="347" t="e">
        <f t="shared" si="0"/>
        <v>#REF!</v>
      </c>
      <c r="D25" s="11">
        <f>PROPOSTA2025!D25</f>
        <v>1</v>
      </c>
      <c r="E25" s="420">
        <f>ROUND(PROPOSTA2025!E25*(1+PROPOSTA2025!$B$31),2)</f>
        <v>24868.9</v>
      </c>
      <c r="F25" s="420">
        <f>ROUND(E25*$H$13,2)</f>
        <v>8082.39</v>
      </c>
      <c r="G25" s="420">
        <f>E25+F25</f>
        <v>32951.29</v>
      </c>
      <c r="H25" s="420">
        <f>ROUND(G25/14,2)</f>
        <v>2353.66</v>
      </c>
      <c r="I25" s="420">
        <f>G25+H25</f>
        <v>35304.949999999997</v>
      </c>
      <c r="J25" s="358">
        <f t="shared" si="1"/>
        <v>5.9087797713557919E-2</v>
      </c>
      <c r="K25" s="66"/>
      <c r="L25" s="66"/>
      <c r="M25" s="66">
        <f t="shared" si="2"/>
        <v>35304.949999999997</v>
      </c>
      <c r="N25" s="66">
        <f t="shared" si="3"/>
        <v>5.9087797713557919E-2</v>
      </c>
      <c r="O25" s="66"/>
    </row>
    <row r="26" spans="1:15">
      <c r="A26" s="11" t="s">
        <v>207</v>
      </c>
      <c r="B26" s="268">
        <f>'Despeses Personal 2023'!AA9</f>
        <v>1</v>
      </c>
      <c r="C26" s="347" t="e">
        <f t="shared" si="0"/>
        <v>#REF!</v>
      </c>
      <c r="D26" s="11">
        <f>PROPOSTA2025!D26</f>
        <v>1</v>
      </c>
      <c r="E26" s="420">
        <f>ROUND(PROPOSTA2025!E26*(1+PROPOSTA2025!$B$31),2)</f>
        <v>27182.94</v>
      </c>
      <c r="F26" s="420">
        <f>ROUND(E26*$H$13,2)</f>
        <v>8834.4599999999991</v>
      </c>
      <c r="G26" s="420">
        <f t="shared" ref="G26:G28" si="4">E26+F26</f>
        <v>36017.399999999994</v>
      </c>
      <c r="H26" s="420">
        <f>ROUND(G26/14,2)</f>
        <v>2572.67</v>
      </c>
      <c r="I26" s="420">
        <f t="shared" ref="I26:I28" si="5">G26+H26</f>
        <v>38590.069999999992</v>
      </c>
      <c r="J26" s="358">
        <f t="shared" si="1"/>
        <v>6.4585907922601216E-2</v>
      </c>
      <c r="K26" s="66"/>
      <c r="L26" s="66"/>
      <c r="M26" s="66">
        <f t="shared" si="2"/>
        <v>38590.069999999992</v>
      </c>
      <c r="N26" s="66">
        <f t="shared" si="3"/>
        <v>6.4585907922601216E-2</v>
      </c>
      <c r="O26" s="66"/>
    </row>
    <row r="27" spans="1:15">
      <c r="A27" s="11" t="s">
        <v>208</v>
      </c>
      <c r="B27" s="268">
        <f>'Despeses Personal 2023'!AA3</f>
        <v>1</v>
      </c>
      <c r="C27" s="347" t="e">
        <f t="shared" si="0"/>
        <v>#REF!</v>
      </c>
      <c r="D27" s="11">
        <f>PROPOSTA2025!D27</f>
        <v>1</v>
      </c>
      <c r="E27" s="420">
        <f>ROUND(PROPOSTA2025!E27*(1+PROPOSTA2025!$B$31),2)</f>
        <v>23289.26</v>
      </c>
      <c r="F27" s="420">
        <f>ROUND(E27*$H$13,2)</f>
        <v>7569.01</v>
      </c>
      <c r="G27" s="420">
        <f t="shared" si="4"/>
        <v>30858.269999999997</v>
      </c>
      <c r="H27" s="420">
        <f>ROUND(G27/14,2)</f>
        <v>2204.16</v>
      </c>
      <c r="I27" s="420">
        <f t="shared" si="5"/>
        <v>33062.429999999993</v>
      </c>
      <c r="J27" s="358">
        <f t="shared" si="1"/>
        <v>5.5334625194446339E-2</v>
      </c>
      <c r="K27" s="66"/>
      <c r="L27" s="66"/>
      <c r="M27" s="66">
        <f t="shared" si="2"/>
        <v>33062.429999999993</v>
      </c>
      <c r="N27" s="66">
        <f t="shared" si="3"/>
        <v>5.5334625194446339E-2</v>
      </c>
      <c r="O27" s="66"/>
    </row>
    <row r="28" spans="1:15">
      <c r="A28" s="11" t="s">
        <v>209</v>
      </c>
      <c r="B28" s="268">
        <f>'Despeses Personal 2023'!AA4</f>
        <v>1</v>
      </c>
      <c r="C28" s="347" t="e">
        <f t="shared" si="0"/>
        <v>#REF!</v>
      </c>
      <c r="D28" s="11">
        <f>PROPOSTA2025!D28</f>
        <v>2</v>
      </c>
      <c r="E28" s="420">
        <f>ROUND(PROPOSTA2025!E28*(1+PROPOSTA2025!$B$31),2)</f>
        <v>41465.410000000003</v>
      </c>
      <c r="F28" s="420">
        <f>ROUND(E28*$H$13,2)</f>
        <v>13476.26</v>
      </c>
      <c r="G28" s="420">
        <f t="shared" si="4"/>
        <v>54941.670000000006</v>
      </c>
      <c r="H28" s="420">
        <f>ROUND(G28/14,2)</f>
        <v>3924.41</v>
      </c>
      <c r="I28" s="420">
        <f t="shared" si="5"/>
        <v>58866.080000000002</v>
      </c>
      <c r="J28" s="358">
        <f t="shared" si="1"/>
        <v>9.8520661471836607E-2</v>
      </c>
      <c r="K28" s="66"/>
      <c r="L28" s="66"/>
      <c r="M28" s="66">
        <f t="shared" si="2"/>
        <v>58866.080000000002</v>
      </c>
      <c r="N28" s="66">
        <f t="shared" si="3"/>
        <v>9.8520661471836607E-2</v>
      </c>
      <c r="O28" s="66"/>
    </row>
    <row r="29" spans="1:15">
      <c r="A29" s="11" t="s">
        <v>210</v>
      </c>
      <c r="B29" s="268">
        <f>'Despeses Personal 2023'!AA11</f>
        <v>1</v>
      </c>
      <c r="C29" s="347" t="e">
        <f t="shared" si="0"/>
        <v>#REF!</v>
      </c>
      <c r="D29" s="11">
        <f>PROPOSTA2025!D29</f>
        <v>1</v>
      </c>
      <c r="E29" s="420">
        <f>ROUND(PROPOSTA2025!E29*(1+PROPOSTA2025!$B$31),2)</f>
        <v>23289.26</v>
      </c>
      <c r="F29" s="420">
        <f>ROUND(E29*$H$13,2)</f>
        <v>7569.01</v>
      </c>
      <c r="G29" s="420">
        <f>E29+F29</f>
        <v>30858.269999999997</v>
      </c>
      <c r="H29" s="420">
        <f>ROUND(G29/14,2)</f>
        <v>2204.16</v>
      </c>
      <c r="I29" s="420">
        <f>G29+H29</f>
        <v>33062.429999999993</v>
      </c>
      <c r="J29" s="358">
        <f t="shared" si="1"/>
        <v>5.5334625194446339E-2</v>
      </c>
      <c r="K29" s="66"/>
      <c r="L29" s="66"/>
      <c r="M29" s="66">
        <f t="shared" si="2"/>
        <v>33062.429999999993</v>
      </c>
      <c r="N29" s="66">
        <f t="shared" si="3"/>
        <v>5.5334625194446339E-2</v>
      </c>
      <c r="O29" s="66"/>
    </row>
    <row r="30" spans="1:15">
      <c r="E30" s="420"/>
      <c r="F30" s="420"/>
      <c r="G30" s="420"/>
      <c r="H30" s="420"/>
      <c r="I30" s="420"/>
      <c r="J30" s="358"/>
      <c r="M30" s="66"/>
      <c r="N30" s="66"/>
    </row>
    <row r="31" spans="1:15">
      <c r="A31" s="11" t="s">
        <v>211</v>
      </c>
      <c r="B31" s="268">
        <f>'Estimacio index increm salarial'!G30</f>
        <v>0.02</v>
      </c>
      <c r="E31" s="420">
        <f>ROUND(($E$21+$E$22+SUM($E$25:$E$29))*B31,2)</f>
        <v>12380.98</v>
      </c>
      <c r="F31" s="420">
        <f>ROUND(E31*$H$13,2)</f>
        <v>4023.82</v>
      </c>
      <c r="G31" s="420">
        <f>E31+F31</f>
        <v>16404.8</v>
      </c>
      <c r="H31" s="420">
        <f>ROUND(G31/14,2)</f>
        <v>1171.77</v>
      </c>
      <c r="I31" s="420">
        <f>G31+H31</f>
        <v>17576.57</v>
      </c>
      <c r="J31" s="358">
        <f>I31/$H$18</f>
        <v>2.9416861167008895E-2</v>
      </c>
      <c r="K31" s="66"/>
      <c r="L31" s="66"/>
      <c r="M31" s="66">
        <f t="shared" si="2"/>
        <v>17576.57</v>
      </c>
      <c r="N31" s="66">
        <f t="shared" si="3"/>
        <v>2.9416861167008895E-2</v>
      </c>
      <c r="O31" s="66"/>
    </row>
    <row r="32" spans="1:15">
      <c r="A32" s="11" t="s">
        <v>212</v>
      </c>
      <c r="B32" s="268">
        <f>PROPOSTA2025!B32</f>
        <v>6.3E-2</v>
      </c>
      <c r="E32" s="420">
        <f>ROUND(($E$21+$E$22+SUM($E$25:$E$29))*B32,2)</f>
        <v>39000.1</v>
      </c>
      <c r="F32" s="420">
        <f>ROUND(E32*$H$13,2)</f>
        <v>12675.03</v>
      </c>
      <c r="G32" s="420">
        <f>E32+F32</f>
        <v>51675.13</v>
      </c>
      <c r="H32" s="420">
        <f>ROUND(G32/14,2)</f>
        <v>3691.08</v>
      </c>
      <c r="I32" s="420">
        <f>G32+H32</f>
        <v>55366.21</v>
      </c>
      <c r="J32" s="358">
        <f t="shared" si="1"/>
        <v>9.2663136943866728E-2</v>
      </c>
      <c r="K32" s="66"/>
      <c r="L32" s="66"/>
      <c r="M32" s="66">
        <f t="shared" si="2"/>
        <v>55366.21</v>
      </c>
      <c r="N32" s="66">
        <f t="shared" si="3"/>
        <v>9.2663136943866728E-2</v>
      </c>
      <c r="O32" s="66"/>
    </row>
    <row r="33" spans="1:15">
      <c r="A33" s="11" t="s">
        <v>213</v>
      </c>
      <c r="B33" s="268">
        <f>PROPOSTA2025!B33</f>
        <v>0.01</v>
      </c>
      <c r="E33" s="420">
        <f>ROUND(($E$21+$E$22+SUM($E$25:$E$29))*B33,2)</f>
        <v>6190.49</v>
      </c>
      <c r="F33" s="420">
        <f>ROUND(E33*$H$13,2)</f>
        <v>2011.91</v>
      </c>
      <c r="G33" s="420">
        <f>E33+F33</f>
        <v>8202.4</v>
      </c>
      <c r="H33" s="420">
        <f>ROUND(G33/14,2)</f>
        <v>585.89</v>
      </c>
      <c r="I33" s="420">
        <f>G33+H33</f>
        <v>8788.2899999999991</v>
      </c>
      <c r="J33" s="358">
        <f t="shared" si="1"/>
        <v>1.4708438951707448E-2</v>
      </c>
      <c r="K33" s="66"/>
      <c r="L33" s="66"/>
      <c r="M33" s="66">
        <f t="shared" si="2"/>
        <v>8788.2899999999991</v>
      </c>
      <c r="N33" s="66">
        <f t="shared" si="3"/>
        <v>1.4708438951707448E-2</v>
      </c>
      <c r="O33" s="66"/>
    </row>
    <row r="34" spans="1:15">
      <c r="A34" s="11" t="s">
        <v>214</v>
      </c>
      <c r="B34" s="268">
        <f>PROPOSTA2025!B34</f>
        <v>0.01</v>
      </c>
      <c r="E34" s="420">
        <f>ROUND(($E$21+$E$22+SUM($E$25:$E$29))*B34,2)</f>
        <v>6190.49</v>
      </c>
      <c r="F34" s="420">
        <f>ROUND(E34*$H$13,2)</f>
        <v>2011.91</v>
      </c>
      <c r="G34" s="420">
        <f>E34+F34</f>
        <v>8202.4</v>
      </c>
      <c r="H34" s="420">
        <f>ROUND(G34/14,2)</f>
        <v>585.89</v>
      </c>
      <c r="I34" s="420">
        <f>G34+H34</f>
        <v>8788.2899999999991</v>
      </c>
      <c r="J34" s="358">
        <f t="shared" si="1"/>
        <v>1.4708438951707448E-2</v>
      </c>
      <c r="K34" s="66"/>
      <c r="L34" s="66"/>
      <c r="M34" s="66">
        <f>I34</f>
        <v>8788.2899999999991</v>
      </c>
      <c r="N34" s="66">
        <f t="shared" si="3"/>
        <v>1.4708438951707448E-2</v>
      </c>
      <c r="O34" s="66"/>
    </row>
    <row r="35" spans="1:15">
      <c r="E35" s="357"/>
      <c r="F35" s="357"/>
      <c r="G35" s="357"/>
      <c r="H35" s="357"/>
      <c r="I35" s="357"/>
      <c r="J35" s="358"/>
    </row>
    <row r="36" spans="1:15" s="349" customFormat="1">
      <c r="A36" s="359" t="s">
        <v>77</v>
      </c>
      <c r="B36" s="348"/>
      <c r="C36" s="348"/>
      <c r="D36" s="350">
        <f>SUM(D21:D34)</f>
        <v>28</v>
      </c>
      <c r="E36" s="360">
        <f>E21+E22+SUM(E25:E29)+SUM(E31:E34)</f>
        <v>682811.27</v>
      </c>
      <c r="F36" s="360">
        <f>F21+F22+SUM(F25:F29)+SUM(F31:F34)</f>
        <v>221913.66</v>
      </c>
      <c r="G36" s="360">
        <f>G21+G22+SUM(G25:G29)+SUM(G31:G34)</f>
        <v>904724.93</v>
      </c>
      <c r="H36" s="360">
        <f>H21+H22+SUM(H25:H29)+SUM(H31:H34)</f>
        <v>64623.210000000006</v>
      </c>
      <c r="I36" s="361">
        <f>I21+I22+SUM(I25:I29)+SUM(I31:I34)</f>
        <v>969348.1399999999</v>
      </c>
      <c r="J36" s="361">
        <f>I36/$H$18</f>
        <v>1.6223404029841033</v>
      </c>
      <c r="K36" s="362"/>
      <c r="L36" s="363">
        <f>J36/$J$100</f>
        <v>0.20832509264163879</v>
      </c>
      <c r="M36" s="364">
        <f>M21+M22+SUM(M25:M29)+SUM(M31:M34)</f>
        <v>969348.1399999999</v>
      </c>
      <c r="N36" s="66">
        <f t="shared" si="3"/>
        <v>1.6223404029841033</v>
      </c>
      <c r="O36" s="362"/>
    </row>
    <row r="37" spans="1:15">
      <c r="E37" s="357"/>
      <c r="F37" s="357"/>
      <c r="G37" s="357"/>
      <c r="H37" s="357"/>
      <c r="I37" s="357"/>
      <c r="J37" s="358"/>
    </row>
    <row r="38" spans="1:15" s="349" customFormat="1">
      <c r="A38" s="349" t="s">
        <v>75</v>
      </c>
      <c r="E38" s="365"/>
      <c r="F38" s="365"/>
      <c r="G38" s="365"/>
      <c r="H38" s="365"/>
      <c r="I38" s="365"/>
      <c r="J38" s="358"/>
    </row>
    <row r="39" spans="1:15">
      <c r="A39" s="11" t="s">
        <v>215</v>
      </c>
      <c r="B39" s="268">
        <f>'Despeses Personal 2023'!AA7</f>
        <v>1</v>
      </c>
      <c r="C39" s="347" t="e">
        <f t="shared" ref="C39:C41" si="6">$H$9*D39</f>
        <v>#REF!</v>
      </c>
      <c r="D39" s="11">
        <f>PROPOSTA2025!D39</f>
        <v>2</v>
      </c>
      <c r="E39" s="420">
        <f>ROUND(PROPOSTA2025!E39*(1+PROPOSTA2025!$B$31),2)</f>
        <v>51261.64</v>
      </c>
      <c r="F39" s="420">
        <f>ROUND(E39*$H$13,2)</f>
        <v>16660.03</v>
      </c>
      <c r="G39" s="420">
        <f>E39+F39</f>
        <v>67921.67</v>
      </c>
      <c r="H39" s="420">
        <f>ROUND(G39/14,2)</f>
        <v>4851.55</v>
      </c>
      <c r="I39" s="420">
        <f>G39+H39</f>
        <v>72773.22</v>
      </c>
      <c r="J39" s="358">
        <f>I39/$H$18</f>
        <v>0.12179621561067917</v>
      </c>
      <c r="K39" s="66"/>
      <c r="L39" s="66"/>
      <c r="M39" s="66">
        <f>I39</f>
        <v>72773.22</v>
      </c>
      <c r="N39" s="66">
        <f t="shared" ref="N39:N46" si="7">M39/$H$18</f>
        <v>0.12179621561067917</v>
      </c>
      <c r="O39" s="66"/>
    </row>
    <row r="40" spans="1:15">
      <c r="A40" s="11" t="s">
        <v>216</v>
      </c>
      <c r="B40" s="268">
        <f>'Despeses Personal 2023'!AA12</f>
        <v>1</v>
      </c>
      <c r="C40" s="347" t="e">
        <f t="shared" si="6"/>
        <v>#REF!</v>
      </c>
      <c r="D40" s="11">
        <f>PROPOSTA2025!D40</f>
        <v>2</v>
      </c>
      <c r="E40" s="420">
        <f>ROUND(PROPOSTA2025!E40*(1+PROPOSTA2025!$B$31),2)</f>
        <v>40692.870000000003</v>
      </c>
      <c r="F40" s="420">
        <f>ROUND(E40*$H$13,2)</f>
        <v>13225.18</v>
      </c>
      <c r="G40" s="420">
        <f>E40+F40</f>
        <v>53918.05</v>
      </c>
      <c r="H40" s="420">
        <f>ROUND(G40/14,2)</f>
        <v>3851.29</v>
      </c>
      <c r="I40" s="420">
        <f>G40+H40</f>
        <v>57769.340000000004</v>
      </c>
      <c r="J40" s="358">
        <f t="shared" si="1"/>
        <v>9.6685112879801569E-2</v>
      </c>
      <c r="K40" s="66"/>
      <c r="L40" s="66"/>
      <c r="M40" s="66">
        <f t="shared" ref="M40:M46" si="8">I40</f>
        <v>57769.340000000004</v>
      </c>
      <c r="N40" s="66">
        <f t="shared" si="7"/>
        <v>9.6685112879801569E-2</v>
      </c>
      <c r="O40" s="66"/>
    </row>
    <row r="41" spans="1:15">
      <c r="A41" s="11" t="s">
        <v>217</v>
      </c>
      <c r="B41" s="268">
        <f>'Despeses Personal 2023'!AA6</f>
        <v>0.875</v>
      </c>
      <c r="C41" s="347" t="e">
        <f t="shared" si="6"/>
        <v>#REF!</v>
      </c>
      <c r="D41" s="11">
        <f>PROPOSTA2025!D41</f>
        <v>2</v>
      </c>
      <c r="E41" s="420">
        <f>ROUND(PROPOSTA2025!E41*(1+PROPOSTA2025!$B$31),2)</f>
        <v>36432.6</v>
      </c>
      <c r="F41" s="420">
        <f>ROUND(E41*$H$13,2)</f>
        <v>11840.6</v>
      </c>
      <c r="G41" s="420">
        <f>E41+F41</f>
        <v>48273.2</v>
      </c>
      <c r="H41" s="420">
        <f>ROUND(G41/14,2)</f>
        <v>3448.09</v>
      </c>
      <c r="I41" s="420">
        <f>G41+H41</f>
        <v>51721.289999999994</v>
      </c>
      <c r="J41" s="358">
        <f>I41/$H$18</f>
        <v>8.6562850846815129E-2</v>
      </c>
      <c r="K41" s="66"/>
      <c r="L41" s="66"/>
      <c r="M41" s="66">
        <f t="shared" si="8"/>
        <v>51721.289999999994</v>
      </c>
      <c r="N41" s="66">
        <f t="shared" si="7"/>
        <v>8.6562850846815129E-2</v>
      </c>
      <c r="O41" s="66"/>
    </row>
    <row r="42" spans="1:15">
      <c r="E42" s="420"/>
      <c r="F42" s="420"/>
      <c r="G42" s="420"/>
      <c r="H42" s="420"/>
      <c r="I42" s="420"/>
      <c r="J42" s="357"/>
      <c r="M42" s="66"/>
      <c r="N42" s="66"/>
    </row>
    <row r="43" spans="1:15">
      <c r="A43" s="11" t="s">
        <v>211</v>
      </c>
      <c r="B43" s="268">
        <f>B31</f>
        <v>0.02</v>
      </c>
      <c r="E43" s="420">
        <f>ROUND(SUM($E$39:$E$41)*B43,2)</f>
        <v>2567.7399999999998</v>
      </c>
      <c r="F43" s="420">
        <f>ROUND(E43*$H$13,2)</f>
        <v>834.52</v>
      </c>
      <c r="G43" s="420">
        <f>E43+F43</f>
        <v>3402.2599999999998</v>
      </c>
      <c r="H43" s="420">
        <f>ROUND(G43/14,2)</f>
        <v>243.02</v>
      </c>
      <c r="I43" s="420">
        <f>G43+H43</f>
        <v>3645.2799999999997</v>
      </c>
      <c r="J43" s="431">
        <f>I43/$H$18</f>
        <v>6.1008886076677179E-3</v>
      </c>
      <c r="K43" s="66"/>
      <c r="L43" s="66"/>
      <c r="M43" s="66">
        <f t="shared" si="8"/>
        <v>3645.2799999999997</v>
      </c>
      <c r="N43" s="66">
        <f t="shared" si="7"/>
        <v>6.1008886076677179E-3</v>
      </c>
      <c r="O43" s="66"/>
    </row>
    <row r="44" spans="1:15">
      <c r="A44" s="11" t="s">
        <v>212</v>
      </c>
      <c r="B44" s="268">
        <f>PROPOSTA2025!B44</f>
        <v>6.3E-2</v>
      </c>
      <c r="E44" s="420">
        <f>ROUND(SUM($E$39:$E$41)*B44,2)</f>
        <v>8088.39</v>
      </c>
      <c r="F44" s="420">
        <f>ROUND(E44*$H$13,2)</f>
        <v>2628.73</v>
      </c>
      <c r="G44" s="420">
        <f t="shared" ref="G44:G46" si="9">E44+F44</f>
        <v>10717.12</v>
      </c>
      <c r="H44" s="420">
        <f>ROUND(G44/14,2)</f>
        <v>765.51</v>
      </c>
      <c r="I44" s="420">
        <f t="shared" ref="I44:I46" si="10">G44+H44</f>
        <v>11482.630000000001</v>
      </c>
      <c r="J44" s="431">
        <f>I44/$H$18</f>
        <v>1.9217795766872114E-2</v>
      </c>
      <c r="K44" s="66"/>
      <c r="L44" s="66"/>
      <c r="M44" s="66">
        <f t="shared" si="8"/>
        <v>11482.630000000001</v>
      </c>
      <c r="N44" s="66">
        <f t="shared" si="7"/>
        <v>1.9217795766872114E-2</v>
      </c>
      <c r="O44" s="66"/>
    </row>
    <row r="45" spans="1:15">
      <c r="A45" s="11" t="s">
        <v>213</v>
      </c>
      <c r="B45" s="268">
        <f>B33</f>
        <v>0.01</v>
      </c>
      <c r="E45" s="420">
        <f>ROUND(SUM($E$39:$E$41)*B45,2)</f>
        <v>1283.8699999999999</v>
      </c>
      <c r="F45" s="420">
        <f>ROUND(E45*$H$13,2)</f>
        <v>417.26</v>
      </c>
      <c r="G45" s="420">
        <f t="shared" si="9"/>
        <v>1701.1299999999999</v>
      </c>
      <c r="H45" s="420">
        <f>ROUND(G45/14,2)</f>
        <v>121.51</v>
      </c>
      <c r="I45" s="420">
        <f t="shared" si="10"/>
        <v>1822.6399999999999</v>
      </c>
      <c r="J45" s="431">
        <f>I45/$H$18</f>
        <v>3.0504443038338589E-3</v>
      </c>
      <c r="K45" s="66"/>
      <c r="L45" s="66"/>
      <c r="M45" s="66">
        <f t="shared" si="8"/>
        <v>1822.6399999999999</v>
      </c>
      <c r="N45" s="66">
        <f t="shared" si="7"/>
        <v>3.0504443038338589E-3</v>
      </c>
      <c r="O45" s="66"/>
    </row>
    <row r="46" spans="1:15">
      <c r="A46" s="11" t="s">
        <v>214</v>
      </c>
      <c r="B46" s="268">
        <f>B34</f>
        <v>0.01</v>
      </c>
      <c r="E46" s="420">
        <f>ROUND(SUM($E$39:$E$41)*B46,2)</f>
        <v>1283.8699999999999</v>
      </c>
      <c r="F46" s="420">
        <f>ROUND(E46*$H$13,2)</f>
        <v>417.26</v>
      </c>
      <c r="G46" s="420">
        <f t="shared" si="9"/>
        <v>1701.1299999999999</v>
      </c>
      <c r="H46" s="420">
        <f>ROUND(G46/14,2)</f>
        <v>121.51</v>
      </c>
      <c r="I46" s="420">
        <f t="shared" si="10"/>
        <v>1822.6399999999999</v>
      </c>
      <c r="J46" s="431">
        <f>I46/$H$18</f>
        <v>3.0504443038338589E-3</v>
      </c>
      <c r="K46" s="66"/>
      <c r="L46" s="66"/>
      <c r="M46" s="66">
        <f t="shared" si="8"/>
        <v>1822.6399999999999</v>
      </c>
      <c r="N46" s="66">
        <f t="shared" si="7"/>
        <v>3.0504443038338589E-3</v>
      </c>
      <c r="O46" s="66"/>
    </row>
    <row r="47" spans="1:15">
      <c r="E47" s="357"/>
      <c r="F47" s="357"/>
      <c r="G47" s="357"/>
      <c r="H47" s="357"/>
      <c r="I47" s="357"/>
      <c r="J47" s="357"/>
    </row>
    <row r="48" spans="1:15">
      <c r="A48" s="359" t="s">
        <v>76</v>
      </c>
      <c r="B48" s="383"/>
      <c r="C48" s="383"/>
      <c r="D48" s="350">
        <f>SUM(D39:D46)</f>
        <v>6</v>
      </c>
      <c r="E48" s="360">
        <f>SUM(E39:E41)+SUM(E43:E46)</f>
        <v>141610.98000000001</v>
      </c>
      <c r="F48" s="360">
        <f t="shared" ref="F48:H48" si="11">SUM(F39:F41)+SUM(F43:F46)</f>
        <v>46023.58</v>
      </c>
      <c r="G48" s="360">
        <f t="shared" si="11"/>
        <v>187634.56</v>
      </c>
      <c r="H48" s="360">
        <f t="shared" si="11"/>
        <v>13402.48</v>
      </c>
      <c r="I48" s="361">
        <f>SUM(I39:I41)+SUM(I43:I46)</f>
        <v>201037.03999999998</v>
      </c>
      <c r="J48" s="361">
        <f>I48/$H$18</f>
        <v>0.33646375231950337</v>
      </c>
      <c r="K48" s="362"/>
      <c r="L48" s="363">
        <f>J48/$J$100</f>
        <v>4.3205385407146746E-2</v>
      </c>
      <c r="M48" s="364">
        <f>SUM(M39:M41)+SUM(M43:M46)</f>
        <v>201037.03999999998</v>
      </c>
      <c r="N48" s="66">
        <f t="shared" ref="N48" si="12">M48/$H$18</f>
        <v>0.33646375231950337</v>
      </c>
      <c r="O48" s="362"/>
    </row>
    <row r="49" spans="1:23" ht="15" thickBot="1">
      <c r="E49" s="357"/>
      <c r="F49" s="357"/>
      <c r="G49" s="357"/>
      <c r="H49" s="357"/>
      <c r="I49" s="357"/>
      <c r="J49" s="357"/>
    </row>
    <row r="50" spans="1:23" s="349" customFormat="1" ht="15" thickBot="1">
      <c r="A50" s="384" t="s">
        <v>82</v>
      </c>
      <c r="B50" s="385"/>
      <c r="C50" s="385"/>
      <c r="D50" s="386">
        <f>D36+D48</f>
        <v>34</v>
      </c>
      <c r="E50" s="387">
        <f>E36+E48</f>
        <v>824422.25</v>
      </c>
      <c r="F50" s="387">
        <f t="shared" ref="F50:H50" si="13">F36+F48</f>
        <v>267937.24</v>
      </c>
      <c r="G50" s="387">
        <f t="shared" si="13"/>
        <v>1092359.49</v>
      </c>
      <c r="H50" s="387">
        <f t="shared" si="13"/>
        <v>78025.69</v>
      </c>
      <c r="I50" s="388">
        <f>I36+I48</f>
        <v>1170385.18</v>
      </c>
      <c r="J50" s="361">
        <f>I50/$H$18</f>
        <v>1.9588041553036066</v>
      </c>
      <c r="K50" s="362"/>
      <c r="L50" s="363">
        <f>J50/$J$100</f>
        <v>0.25153047804878553</v>
      </c>
      <c r="M50" s="389">
        <f>M36+M48</f>
        <v>1170385.18</v>
      </c>
      <c r="N50" s="66">
        <f t="shared" ref="N50" si="14">M50/$H$18</f>
        <v>1.9588041553036066</v>
      </c>
      <c r="O50" s="362"/>
    </row>
    <row r="52" spans="1:23">
      <c r="D52" s="11" t="s">
        <v>91</v>
      </c>
    </row>
    <row r="53" spans="1:23">
      <c r="C53" s="11" t="s">
        <v>90</v>
      </c>
      <c r="D53" s="11" t="s">
        <v>103</v>
      </c>
      <c r="I53" s="11" t="s">
        <v>50</v>
      </c>
      <c r="T53" s="169"/>
    </row>
    <row r="54" spans="1:23">
      <c r="A54" s="11" t="s">
        <v>89</v>
      </c>
      <c r="D54" s="96"/>
    </row>
    <row r="55" spans="1:23">
      <c r="A55" s="11" t="s">
        <v>218</v>
      </c>
      <c r="C55" s="421">
        <f>'Estimacio increment IPC'!W11</f>
        <v>4.0580956504345576</v>
      </c>
      <c r="D55" s="116">
        <f>H18</f>
        <v>597499.84541900002</v>
      </c>
      <c r="I55" s="141">
        <f>C55*D55</f>
        <v>2424711.5238301647</v>
      </c>
      <c r="J55" s="65">
        <f>I55/$H$18</f>
        <v>4.0580956504345576</v>
      </c>
      <c r="K55" s="21"/>
      <c r="L55" s="21"/>
      <c r="M55" s="66">
        <f t="shared" ref="M55:M58" si="15">I55</f>
        <v>2424711.5238301647</v>
      </c>
      <c r="N55" s="66">
        <f t="shared" ref="N55:N60" si="16">M55/$H$18</f>
        <v>4.0580956504345576</v>
      </c>
      <c r="O55" s="21"/>
      <c r="W55" s="169"/>
    </row>
    <row r="56" spans="1:23">
      <c r="A56" s="11" t="s">
        <v>219</v>
      </c>
      <c r="B56" s="390">
        <v>0.65</v>
      </c>
      <c r="C56" s="423">
        <f>C55*B56</f>
        <v>2.6377621727824625</v>
      </c>
      <c r="D56" s="116">
        <f>D55*B56</f>
        <v>388374.89952235005</v>
      </c>
      <c r="I56" s="141">
        <f>D56*C55</f>
        <v>1576062.490489607</v>
      </c>
      <c r="J56" s="65">
        <f t="shared" ref="J56:J57" si="17">I56/$H$18</f>
        <v>2.6377621727824625</v>
      </c>
      <c r="K56" s="21"/>
      <c r="L56" s="21"/>
      <c r="M56" s="66"/>
      <c r="N56" s="66"/>
      <c r="O56" s="21"/>
      <c r="W56" s="169"/>
    </row>
    <row r="57" spans="1:23">
      <c r="A57" s="11" t="s">
        <v>220</v>
      </c>
      <c r="B57" s="390">
        <v>0.35</v>
      </c>
      <c r="C57" s="423">
        <f>C55*B57</f>
        <v>1.4203334776520951</v>
      </c>
      <c r="D57" s="116">
        <f>D55*B57</f>
        <v>209124.94589665</v>
      </c>
      <c r="I57" s="141">
        <f>D57*C55</f>
        <v>848649.03334055748</v>
      </c>
      <c r="J57" s="65">
        <f t="shared" si="17"/>
        <v>1.4203334776520951</v>
      </c>
      <c r="K57" s="21"/>
      <c r="L57" s="21"/>
      <c r="M57" s="66"/>
      <c r="N57" s="66"/>
      <c r="O57" s="21"/>
      <c r="W57" s="169"/>
    </row>
    <row r="58" spans="1:23">
      <c r="A58" s="11" t="s">
        <v>221</v>
      </c>
      <c r="C58" s="422">
        <f>ROUND(PROPOSTA2025!C58*(1+'Estimacio increment IPC'!$G$11),2)</f>
        <v>0.15</v>
      </c>
      <c r="D58" s="116">
        <f>52*37*G18</f>
        <v>2718612</v>
      </c>
      <c r="E58" s="11">
        <f>D58/D55</f>
        <v>4.5499794198165162</v>
      </c>
      <c r="F58" s="11">
        <v>5.29</v>
      </c>
      <c r="G58" s="68"/>
      <c r="I58" s="141">
        <f>C58*D58</f>
        <v>407791.8</v>
      </c>
      <c r="J58" s="65">
        <f>I58/$H$18</f>
        <v>0.6824969129724775</v>
      </c>
      <c r="K58" s="21"/>
      <c r="L58" s="21"/>
      <c r="M58" s="66">
        <f t="shared" si="15"/>
        <v>407791.8</v>
      </c>
      <c r="N58" s="66">
        <f t="shared" si="16"/>
        <v>0.6824969129724775</v>
      </c>
      <c r="O58" s="21"/>
      <c r="Q58" s="11" t="s">
        <v>170</v>
      </c>
    </row>
    <row r="59" spans="1:23">
      <c r="A59" s="11" t="s">
        <v>92</v>
      </c>
      <c r="C59" s="424"/>
      <c r="I59" s="141"/>
      <c r="P59" s="11">
        <v>0.19</v>
      </c>
      <c r="Q59" s="11" t="s">
        <v>171</v>
      </c>
    </row>
    <row r="60" spans="1:23">
      <c r="A60" s="399" t="s">
        <v>93</v>
      </c>
      <c r="B60" s="400"/>
      <c r="C60" s="432"/>
      <c r="D60" s="400"/>
      <c r="E60" s="400"/>
      <c r="F60" s="400"/>
      <c r="G60" s="400"/>
      <c r="H60" s="400"/>
      <c r="I60" s="433">
        <f>I55+I58</f>
        <v>2832503.3238301645</v>
      </c>
      <c r="J60" s="401">
        <f>I60/$H$18</f>
        <v>4.7405925634070352</v>
      </c>
      <c r="K60" s="402"/>
      <c r="L60" s="363">
        <f>J60/$J$100</f>
        <v>0.60874054737926131</v>
      </c>
      <c r="M60" s="401">
        <f>M55+M58</f>
        <v>2832503.3238301645</v>
      </c>
      <c r="N60" s="66">
        <f t="shared" si="16"/>
        <v>4.7405925634070352</v>
      </c>
      <c r="O60" s="402"/>
    </row>
    <row r="61" spans="1:23">
      <c r="A61" s="403"/>
      <c r="B61" s="403"/>
      <c r="C61" s="434"/>
      <c r="D61" s="403"/>
      <c r="E61" s="403"/>
      <c r="F61" s="403"/>
      <c r="G61" s="403"/>
      <c r="H61" s="403"/>
      <c r="I61" s="435"/>
      <c r="J61" s="404"/>
      <c r="K61" s="404"/>
      <c r="L61" s="404"/>
      <c r="M61" s="404"/>
      <c r="N61" s="404"/>
      <c r="O61" s="404"/>
    </row>
    <row r="62" spans="1:23">
      <c r="C62" s="424" t="s">
        <v>90</v>
      </c>
      <c r="D62" s="11" t="s">
        <v>103</v>
      </c>
      <c r="E62" s="11" t="s">
        <v>131</v>
      </c>
      <c r="F62" s="11" t="s">
        <v>158</v>
      </c>
      <c r="G62" s="11" t="s">
        <v>159</v>
      </c>
      <c r="I62" s="141" t="s">
        <v>104</v>
      </c>
    </row>
    <row r="63" spans="1:23">
      <c r="C63" s="424"/>
      <c r="I63" s="141"/>
    </row>
    <row r="64" spans="1:23">
      <c r="A64" s="11" t="s">
        <v>111</v>
      </c>
      <c r="C64" s="436">
        <f>ROUND(PROPOSTA2025!C64*(1+'Estimacio increment IPC'!$G$11),2)</f>
        <v>28.47</v>
      </c>
      <c r="D64" s="11">
        <f>PROPOSTA2022!D64</f>
        <v>52</v>
      </c>
      <c r="I64" s="143">
        <f>C64*D64</f>
        <v>1480.44</v>
      </c>
      <c r="J64" s="65">
        <f>I64/$H$18</f>
        <v>2.4777244903918484E-3</v>
      </c>
      <c r="K64" s="64"/>
      <c r="L64" s="64"/>
      <c r="M64" s="66">
        <f t="shared" ref="M64:M84" si="18">I64</f>
        <v>1480.44</v>
      </c>
      <c r="N64" s="66">
        <f t="shared" ref="N64:N84" si="19">M64/$H$18</f>
        <v>2.4777244903918484E-3</v>
      </c>
      <c r="O64" s="64"/>
    </row>
    <row r="65" spans="1:19">
      <c r="A65" s="11" t="s">
        <v>100</v>
      </c>
      <c r="C65" s="436">
        <f>ROUND(PROPOSTA2025!C65*(1+'Estimacio increment IPC'!$G$11),2)</f>
        <v>882.65</v>
      </c>
      <c r="D65" s="11">
        <f>PROPOSTA2022!D65</f>
        <v>1</v>
      </c>
      <c r="I65" s="143">
        <f>C65</f>
        <v>882.65</v>
      </c>
      <c r="J65" s="65">
        <f>I65/$H$18</f>
        <v>1.4772388759047073E-3</v>
      </c>
      <c r="K65" s="64"/>
      <c r="L65" s="64"/>
      <c r="M65" s="66">
        <f t="shared" si="18"/>
        <v>882.65</v>
      </c>
      <c r="N65" s="66">
        <f t="shared" si="19"/>
        <v>1.4772388759047073E-3</v>
      </c>
      <c r="O65" s="64"/>
    </row>
    <row r="66" spans="1:19">
      <c r="A66" s="11" t="s">
        <v>129</v>
      </c>
      <c r="C66" s="436">
        <f>ROUND(PROPOSTA2025!C66*(1+'Estimacio increment IPC'!$G$11),2)</f>
        <v>130.97</v>
      </c>
      <c r="D66" s="96">
        <f>D21+D25</f>
        <v>17</v>
      </c>
      <c r="E66" s="11">
        <v>2</v>
      </c>
      <c r="I66" s="143">
        <f>C66*D66*E66</f>
        <v>4452.9799999999996</v>
      </c>
      <c r="J66" s="65">
        <f>I66/$H$18</f>
        <v>7.452688120575702E-3</v>
      </c>
      <c r="K66" s="64"/>
      <c r="L66" s="64"/>
      <c r="M66" s="66">
        <f t="shared" si="18"/>
        <v>4452.9799999999996</v>
      </c>
      <c r="N66" s="66">
        <f t="shared" si="19"/>
        <v>7.452688120575702E-3</v>
      </c>
      <c r="O66" s="64"/>
      <c r="Q66" s="11" t="s">
        <v>132</v>
      </c>
      <c r="R66" s="11" t="s">
        <v>133</v>
      </c>
      <c r="S66" s="11" t="s">
        <v>134</v>
      </c>
    </row>
    <row r="67" spans="1:19">
      <c r="A67" s="11" t="s">
        <v>130</v>
      </c>
      <c r="C67" s="436">
        <f>ROUND(PROPOSTA2025!C67*(1+'Estimacio increment IPC'!$G$11),2)</f>
        <v>54.67</v>
      </c>
      <c r="D67" s="96">
        <f>D39+D40+D41</f>
        <v>6</v>
      </c>
      <c r="E67" s="11">
        <v>2</v>
      </c>
      <c r="I67" s="143">
        <f>C67*D67*E67</f>
        <v>656.04</v>
      </c>
      <c r="J67" s="65">
        <f>I67/$H$18</f>
        <v>1.0979751794579099E-3</v>
      </c>
      <c r="K67" s="64"/>
      <c r="L67" s="64"/>
      <c r="M67" s="66">
        <f t="shared" si="18"/>
        <v>656.04</v>
      </c>
      <c r="N67" s="66">
        <f t="shared" si="19"/>
        <v>1.0979751794579099E-3</v>
      </c>
      <c r="O67" s="64"/>
      <c r="Q67" s="11" t="s">
        <v>132</v>
      </c>
      <c r="R67" s="11" t="s">
        <v>133</v>
      </c>
      <c r="S67" s="11" t="s">
        <v>134</v>
      </c>
    </row>
    <row r="68" spans="1:19">
      <c r="A68" s="11" t="s">
        <v>98</v>
      </c>
      <c r="C68" s="437"/>
      <c r="I68" s="143"/>
      <c r="J68" s="64"/>
      <c r="K68" s="64"/>
      <c r="L68" s="64"/>
      <c r="M68" s="66"/>
      <c r="N68" s="66"/>
      <c r="O68" s="64"/>
    </row>
    <row r="69" spans="1:19">
      <c r="A69" s="67" t="s">
        <v>99</v>
      </c>
      <c r="C69" s="436">
        <f>ROUND(PROPOSTA2025!C69*(1+'Estimacio increment IPC'!$G$11),2)</f>
        <v>1195.8499999999999</v>
      </c>
      <c r="D69" s="11">
        <f>PROPOSTA2022!D69</f>
        <v>10</v>
      </c>
      <c r="E69" s="11">
        <v>12</v>
      </c>
      <c r="I69" s="143">
        <f>C69*D69*E69</f>
        <v>143502</v>
      </c>
      <c r="J69" s="65">
        <f t="shared" ref="J69:J72" si="20">I69/$H$18</f>
        <v>0.2401707734323654</v>
      </c>
      <c r="K69" s="64"/>
      <c r="L69" s="64"/>
      <c r="M69" s="66">
        <f t="shared" si="18"/>
        <v>143502</v>
      </c>
      <c r="N69" s="66">
        <f t="shared" si="19"/>
        <v>0.2401707734323654</v>
      </c>
      <c r="O69" s="64"/>
    </row>
    <row r="70" spans="1:19">
      <c r="A70" s="67" t="s">
        <v>105</v>
      </c>
      <c r="C70" s="436">
        <f>ROUND(PROPOSTA2025!C70*(1+'Estimacio increment IPC'!$G$11),2)</f>
        <v>1302.9000000000001</v>
      </c>
      <c r="D70" s="11">
        <f>PROPOSTA2022!D70</f>
        <v>10</v>
      </c>
      <c r="I70" s="143">
        <f t="shared" ref="I70" si="21">C70*D70</f>
        <v>13029</v>
      </c>
      <c r="J70" s="65">
        <f t="shared" si="20"/>
        <v>2.1805863382045466E-2</v>
      </c>
      <c r="K70" s="64"/>
      <c r="L70" s="64"/>
      <c r="M70" s="66">
        <f t="shared" si="18"/>
        <v>13029</v>
      </c>
      <c r="N70" s="66">
        <f t="shared" si="19"/>
        <v>2.1805863382045466E-2</v>
      </c>
      <c r="O70" s="64"/>
    </row>
    <row r="71" spans="1:19">
      <c r="A71" s="67" t="s">
        <v>95</v>
      </c>
      <c r="C71" s="436">
        <f>ROUND(PROPOSTA2025!C71*(1+'Estimacio increment IPC'!$G$11),2)</f>
        <v>119.58</v>
      </c>
      <c r="D71" s="11">
        <f>PROPOSTA2022!D71</f>
        <v>10</v>
      </c>
      <c r="E71" s="11">
        <f>365/5</f>
        <v>73</v>
      </c>
      <c r="F71" s="11">
        <f>((20*2)+15)*7*2</f>
        <v>770</v>
      </c>
      <c r="G71" s="11">
        <f>F71*D71*52</f>
        <v>400400</v>
      </c>
      <c r="H71" s="423">
        <f>G71*10.01105499/100*2.1*(1+'Estimacio increment IPC'!G8)*(1+'Estimacio increment IPC'!G11)*'Estimacions apats i usuaris'!L28*'Estimacions apats i usuaris'!K28*'Estimacions apats i usuaris'!J28*'Estimacions apats i usuaris'!I28</f>
        <v>76119.51632224393</v>
      </c>
      <c r="I71" s="143">
        <f>C71*D71*E71</f>
        <v>87293.4</v>
      </c>
      <c r="J71" s="65">
        <f t="shared" si="20"/>
        <v>0.14609777838316432</v>
      </c>
      <c r="K71" s="64"/>
      <c r="L71" s="64"/>
      <c r="M71" s="66">
        <f t="shared" si="18"/>
        <v>87293.4</v>
      </c>
      <c r="N71" s="66">
        <f t="shared" si="19"/>
        <v>0.14609777838316432</v>
      </c>
      <c r="O71" s="64"/>
    </row>
    <row r="72" spans="1:19">
      <c r="A72" s="67" t="s">
        <v>154</v>
      </c>
      <c r="C72" s="437">
        <f>PROPOSTA2025!C72</f>
        <v>0.19</v>
      </c>
      <c r="D72" s="11">
        <f>PROPOSTA2022!D72</f>
        <v>52</v>
      </c>
      <c r="F72" s="11">
        <f>((20*2)+15)*5</f>
        <v>275</v>
      </c>
      <c r="I72" s="143">
        <f>C72*D72*F72</f>
        <v>2717</v>
      </c>
      <c r="J72" s="65">
        <f t="shared" si="20"/>
        <v>4.5472815111687421E-3</v>
      </c>
      <c r="K72" s="64"/>
      <c r="L72" s="64"/>
      <c r="M72" s="66">
        <f t="shared" si="18"/>
        <v>2717</v>
      </c>
      <c r="N72" s="66">
        <f t="shared" si="19"/>
        <v>4.5472815111687421E-3</v>
      </c>
      <c r="O72" s="64"/>
      <c r="Q72" s="11" t="s">
        <v>109</v>
      </c>
    </row>
    <row r="73" spans="1:19">
      <c r="A73" s="94" t="s">
        <v>96</v>
      </c>
      <c r="B73" s="95"/>
      <c r="C73" s="437">
        <f>PROPOSTA2025!C73</f>
        <v>12.25</v>
      </c>
      <c r="D73" s="11">
        <f>PROPOSTA2022!D73</f>
        <v>125</v>
      </c>
      <c r="I73" s="143">
        <f>C73*D73</f>
        <v>1531.25</v>
      </c>
      <c r="J73" s="65">
        <f>I73/$H$18</f>
        <v>2.5627621692959645E-3</v>
      </c>
      <c r="K73" s="66"/>
      <c r="L73" s="66"/>
      <c r="M73" s="66">
        <f>I73</f>
        <v>1531.25</v>
      </c>
      <c r="N73" s="66">
        <f>M73/$H$18</f>
        <v>2.5627621692959645E-3</v>
      </c>
      <c r="O73" s="66"/>
      <c r="Q73" s="11" t="s">
        <v>108</v>
      </c>
    </row>
    <row r="74" spans="1:19">
      <c r="A74" s="11" t="s">
        <v>139</v>
      </c>
      <c r="C74" s="436">
        <f>ROUND(PROPOSTA2025!C74*(1+'Estimacio increment IPC'!G11),2)</f>
        <v>0.1</v>
      </c>
      <c r="D74" s="115">
        <f>(G18*12)+G18</f>
        <v>18369</v>
      </c>
      <c r="I74" s="143">
        <f>D74*C74</f>
        <v>1836.9</v>
      </c>
      <c r="J74" s="65">
        <f>I74/$H$18</f>
        <v>3.0743104187949438E-3</v>
      </c>
      <c r="K74" s="64"/>
      <c r="L74" s="64"/>
      <c r="M74" s="66">
        <f t="shared" si="18"/>
        <v>1836.9</v>
      </c>
      <c r="N74" s="66">
        <f t="shared" si="19"/>
        <v>3.0743104187949438E-3</v>
      </c>
      <c r="O74" s="64"/>
      <c r="Q74" s="11" t="s">
        <v>138</v>
      </c>
    </row>
    <row r="75" spans="1:19">
      <c r="A75" s="11" t="s">
        <v>140</v>
      </c>
      <c r="C75" s="436">
        <f>PROPOSTA2025!C75</f>
        <v>0.02</v>
      </c>
      <c r="D75" s="116">
        <f>H18</f>
        <v>597499.84541900002</v>
      </c>
      <c r="I75" s="143">
        <f>C75*D75</f>
        <v>11949.996908380001</v>
      </c>
      <c r="J75" s="65">
        <f>I75/$H$18</f>
        <v>0.02</v>
      </c>
      <c r="K75" s="64"/>
      <c r="L75" s="64"/>
      <c r="M75" s="66">
        <f t="shared" si="18"/>
        <v>11949.996908380001</v>
      </c>
      <c r="N75" s="66">
        <f t="shared" si="19"/>
        <v>0.02</v>
      </c>
      <c r="O75" s="64"/>
    </row>
    <row r="76" spans="1:19">
      <c r="A76" s="11" t="s">
        <v>106</v>
      </c>
      <c r="C76" s="436">
        <f>ROUND(PROPOSTA2025!C76*(1+'Estimacio increment IPC'!$G$11),2)</f>
        <v>0.9</v>
      </c>
      <c r="D76" s="96">
        <f>50*E76</f>
        <v>600</v>
      </c>
      <c r="E76" s="11">
        <v>12</v>
      </c>
      <c r="I76" s="143">
        <f>C76*D76*E76</f>
        <v>6480</v>
      </c>
      <c r="J76" s="65">
        <f>I76/$H$18</f>
        <v>1.0845191090310433E-2</v>
      </c>
      <c r="K76" s="64"/>
      <c r="L76" s="64"/>
      <c r="M76" s="66">
        <f t="shared" si="18"/>
        <v>6480</v>
      </c>
      <c r="N76" s="66">
        <f t="shared" si="19"/>
        <v>1.0845191090310433E-2</v>
      </c>
      <c r="O76" s="64"/>
      <c r="Q76" s="11" t="s">
        <v>107</v>
      </c>
    </row>
    <row r="77" spans="1:19">
      <c r="A77" s="11" t="s">
        <v>142</v>
      </c>
      <c r="C77" s="436">
        <f>PROPOSTA2024!C77</f>
        <v>375</v>
      </c>
      <c r="D77" s="11">
        <f>PROPOSTA2022!D77</f>
        <v>1</v>
      </c>
      <c r="E77" s="21"/>
      <c r="F77" s="21"/>
      <c r="I77" s="143">
        <f>C77*D77</f>
        <v>375</v>
      </c>
      <c r="J77" s="65">
        <f t="shared" ref="J77:J85" si="22">I77/$H$18</f>
        <v>6.2761522513370561E-4</v>
      </c>
      <c r="K77" s="64"/>
      <c r="L77" s="64"/>
      <c r="M77" s="66">
        <f t="shared" si="18"/>
        <v>375</v>
      </c>
      <c r="N77" s="66">
        <f t="shared" si="19"/>
        <v>6.2761522513370561E-4</v>
      </c>
      <c r="O77" s="64"/>
    </row>
    <row r="78" spans="1:19">
      <c r="A78" s="11" t="s">
        <v>141</v>
      </c>
      <c r="C78" s="436">
        <f>ROUND(PROPOSTA2025!C78*(1+'Estimacio increment IPC'!$G$11),2)</f>
        <v>5352.82</v>
      </c>
      <c r="D78" s="11">
        <v>1</v>
      </c>
      <c r="I78" s="143">
        <f>C78</f>
        <v>5352.82</v>
      </c>
      <c r="J78" s="65">
        <f t="shared" si="22"/>
        <v>8.9586968784005384E-3</v>
      </c>
      <c r="K78" s="64"/>
      <c r="L78" s="64"/>
      <c r="M78" s="66">
        <f t="shared" si="18"/>
        <v>5352.82</v>
      </c>
      <c r="N78" s="66">
        <f t="shared" si="19"/>
        <v>8.9586968784005384E-3</v>
      </c>
      <c r="O78" s="64"/>
    </row>
    <row r="79" spans="1:19">
      <c r="A79" s="11" t="s">
        <v>97</v>
      </c>
      <c r="C79" s="436">
        <f>ROUND(PROPOSTA2025!C79*(1+'Estimacio increment IPC'!$G$11),2)</f>
        <v>1143.28</v>
      </c>
      <c r="E79" s="11">
        <f>PROPOSTA2022!E79</f>
        <v>12</v>
      </c>
      <c r="I79" s="143">
        <f>C79*E79</f>
        <v>13719.36</v>
      </c>
      <c r="J79" s="65">
        <f t="shared" si="22"/>
        <v>2.2961277906907617E-2</v>
      </c>
      <c r="K79" s="64"/>
      <c r="L79" s="64"/>
      <c r="M79" s="66">
        <f t="shared" si="18"/>
        <v>13719.36</v>
      </c>
      <c r="N79" s="66">
        <f t="shared" si="19"/>
        <v>2.2961277906907617E-2</v>
      </c>
      <c r="O79" s="64"/>
    </row>
    <row r="80" spans="1:19">
      <c r="A80" s="11" t="s">
        <v>229</v>
      </c>
      <c r="C80" s="436">
        <f>ROUND(PROPOSTA2025!C80*(1+'Estimacio increment IPC'!$G$11),2)</f>
        <v>32.11</v>
      </c>
      <c r="D80" s="116">
        <f>G18</f>
        <v>1413</v>
      </c>
      <c r="I80" s="142">
        <f>C80*D80</f>
        <v>45371.43</v>
      </c>
      <c r="J80" s="65">
        <f t="shared" si="22"/>
        <v>7.5935467344235105E-2</v>
      </c>
      <c r="K80" s="64"/>
      <c r="L80" s="64"/>
      <c r="M80" s="66">
        <f t="shared" si="18"/>
        <v>45371.43</v>
      </c>
      <c r="N80" s="66">
        <f t="shared" si="19"/>
        <v>7.5935467344235105E-2</v>
      </c>
      <c r="O80" s="64"/>
      <c r="Q80" s="11" t="s">
        <v>110</v>
      </c>
    </row>
    <row r="81" spans="1:22">
      <c r="A81" s="11" t="s">
        <v>101</v>
      </c>
      <c r="C81" s="436">
        <f>PROPOSTA2025!C81</f>
        <v>50</v>
      </c>
      <c r="D81" s="11">
        <f>D21+D25</f>
        <v>17</v>
      </c>
      <c r="I81" s="143">
        <f>C81*D81</f>
        <v>850</v>
      </c>
      <c r="J81" s="65">
        <f t="shared" si="22"/>
        <v>1.422594510303066E-3</v>
      </c>
      <c r="K81" s="64"/>
      <c r="L81" s="64"/>
      <c r="M81" s="66">
        <f>I81</f>
        <v>850</v>
      </c>
      <c r="N81" s="66">
        <f t="shared" si="19"/>
        <v>1.422594510303066E-3</v>
      </c>
      <c r="O81" s="64"/>
    </row>
    <row r="82" spans="1:22">
      <c r="A82" s="11" t="s">
        <v>102</v>
      </c>
      <c r="C82" s="436">
        <f>ROUND(PROPOSTA2025!C82*(1+'Estimacio increment IPC'!$G$11),2)</f>
        <v>18.53</v>
      </c>
      <c r="D82" s="11">
        <f>D81</f>
        <v>17</v>
      </c>
      <c r="E82" s="11">
        <v>12</v>
      </c>
      <c r="I82" s="143">
        <f>C82*E82*D82</f>
        <v>3780.1200000000003</v>
      </c>
      <c r="J82" s="65">
        <f t="shared" si="22"/>
        <v>6.326562306219796E-3</v>
      </c>
      <c r="K82" s="64"/>
      <c r="L82" s="64"/>
      <c r="M82" s="66">
        <f t="shared" si="18"/>
        <v>3780.1200000000003</v>
      </c>
      <c r="N82" s="66">
        <f t="shared" si="19"/>
        <v>6.326562306219796E-3</v>
      </c>
      <c r="O82" s="64"/>
      <c r="Q82" s="11" t="s">
        <v>169</v>
      </c>
    </row>
    <row r="83" spans="1:22">
      <c r="A83" s="11" t="s">
        <v>258</v>
      </c>
      <c r="C83" s="21"/>
      <c r="I83" s="245">
        <f>ROUND(PROPOSTA2025!I83*(1+'Estimacio increment IPC'!G11),2)</f>
        <v>4934.67</v>
      </c>
      <c r="J83" s="65">
        <f t="shared" si="22"/>
        <v>8.2588640613614483E-3</v>
      </c>
      <c r="K83" s="64"/>
      <c r="L83" s="64"/>
      <c r="M83" s="66"/>
      <c r="N83" s="66"/>
      <c r="O83" s="64"/>
    </row>
    <row r="84" spans="1:22">
      <c r="A84" s="11" t="s">
        <v>259</v>
      </c>
      <c r="C84" s="21"/>
      <c r="I84" s="245">
        <v>20000</v>
      </c>
      <c r="J84" s="65">
        <f t="shared" si="22"/>
        <v>3.3472812007130967E-2</v>
      </c>
      <c r="K84" s="64"/>
      <c r="L84" s="64"/>
      <c r="M84" s="66">
        <f t="shared" si="18"/>
        <v>20000</v>
      </c>
      <c r="N84" s="66">
        <f t="shared" si="19"/>
        <v>3.3472812007130967E-2</v>
      </c>
      <c r="O84" s="64"/>
    </row>
    <row r="85" spans="1:22">
      <c r="A85" s="11" t="s">
        <v>260</v>
      </c>
      <c r="C85" s="21"/>
      <c r="I85" s="140">
        <f>ROUND(PROPOSTA2025!I85*(1+'Estimacio increment IPC'!G11),2)</f>
        <v>4202.54</v>
      </c>
      <c r="J85" s="65">
        <f t="shared" si="22"/>
        <v>7.0335415686224086E-3</v>
      </c>
      <c r="K85" s="64"/>
      <c r="L85" s="64"/>
      <c r="M85" s="66"/>
      <c r="N85" s="66"/>
      <c r="O85" s="64"/>
    </row>
    <row r="86" spans="1:22" ht="15" thickBot="1">
      <c r="T86" s="168"/>
      <c r="V86" s="168"/>
    </row>
    <row r="87" spans="1:22" ht="15" thickBot="1">
      <c r="A87" s="405" t="s">
        <v>94</v>
      </c>
      <c r="B87" s="406"/>
      <c r="C87" s="406"/>
      <c r="D87" s="406"/>
      <c r="E87" s="406"/>
      <c r="F87" s="406"/>
      <c r="G87" s="406"/>
      <c r="H87" s="406"/>
      <c r="I87" s="407">
        <f>SUM(I64:I85)</f>
        <v>374397.59690837993</v>
      </c>
      <c r="J87" s="407">
        <f>I87/$H$18</f>
        <v>0.62660701886178993</v>
      </c>
      <c r="K87" s="402"/>
      <c r="L87" s="363">
        <f>J87/$J$100</f>
        <v>8.0462746914380198E-2</v>
      </c>
      <c r="M87" s="407">
        <f>SUM(M64:M84)</f>
        <v>365260.38690837997</v>
      </c>
      <c r="N87" s="407">
        <f>M87/$H$18</f>
        <v>0.61131461323180614</v>
      </c>
      <c r="O87" s="402"/>
    </row>
    <row r="88" spans="1:22" ht="15" thickBot="1"/>
    <row r="89" spans="1:22" ht="15" thickBot="1">
      <c r="A89" s="405" t="s">
        <v>83</v>
      </c>
      <c r="B89" s="406"/>
      <c r="C89" s="406"/>
      <c r="D89" s="406"/>
      <c r="E89" s="406"/>
      <c r="F89" s="406"/>
      <c r="G89" s="406"/>
      <c r="H89" s="406"/>
      <c r="I89" s="407">
        <f>I60+I87</f>
        <v>3206900.9207385443</v>
      </c>
      <c r="J89" s="407">
        <f>I89/$H$18</f>
        <v>5.3671995822688245</v>
      </c>
      <c r="K89" s="402"/>
      <c r="L89" s="363">
        <f>J89/$J$100</f>
        <v>0.68920329429364147</v>
      </c>
      <c r="M89" s="407">
        <f>M60+M87</f>
        <v>3197763.7107385444</v>
      </c>
      <c r="N89" s="407">
        <f>M89/$H$18</f>
        <v>5.3519071766388411</v>
      </c>
      <c r="O89" s="402"/>
    </row>
    <row r="90" spans="1:22" ht="15" thickBot="1"/>
    <row r="91" spans="1:22" ht="15" thickBot="1">
      <c r="A91" s="408" t="s">
        <v>84</v>
      </c>
      <c r="B91" s="409"/>
      <c r="C91" s="409"/>
      <c r="D91" s="409"/>
      <c r="E91" s="409"/>
      <c r="F91" s="409"/>
      <c r="G91" s="409"/>
      <c r="H91" s="409"/>
      <c r="I91" s="410">
        <f>I50+I89</f>
        <v>4377286.100738544</v>
      </c>
      <c r="J91" s="410">
        <f>I91/$H$18</f>
        <v>7.3260037375724316</v>
      </c>
      <c r="K91" s="411"/>
      <c r="L91" s="363">
        <f>J91/$J$100</f>
        <v>0.94073377234242705</v>
      </c>
      <c r="M91" s="410">
        <f>M50+M89</f>
        <v>4368148.8907385441</v>
      </c>
      <c r="N91" s="410">
        <f>M91/$H$18</f>
        <v>7.3107113319424473</v>
      </c>
      <c r="O91" s="411"/>
    </row>
    <row r="93" spans="1:22">
      <c r="A93" s="349" t="s">
        <v>157</v>
      </c>
    </row>
    <row r="94" spans="1:22" ht="87">
      <c r="A94" s="412" t="s">
        <v>222</v>
      </c>
      <c r="B94" s="268">
        <f>PROPOSTA2025!B94</f>
        <v>2.5000000000000001E-2</v>
      </c>
      <c r="I94" s="66">
        <f>I91*B94</f>
        <v>109432.15251846361</v>
      </c>
      <c r="J94" s="65">
        <f>I94/$H$18</f>
        <v>0.1831500934393108</v>
      </c>
      <c r="K94" s="66"/>
      <c r="L94" s="363">
        <f>J94/$J$100</f>
        <v>2.3518344308560677E-2</v>
      </c>
      <c r="M94" s="66">
        <f>I94</f>
        <v>109432.15251846361</v>
      </c>
      <c r="N94" s="66">
        <f t="shared" ref="N94:N104" si="23">M94/$H$18</f>
        <v>0.1831500934393108</v>
      </c>
      <c r="O94" s="66"/>
    </row>
    <row r="96" spans="1:22">
      <c r="A96" s="96" t="s">
        <v>223</v>
      </c>
      <c r="B96" s="268">
        <f>PROPOSTA2025!B96</f>
        <v>3.7999999999999999E-2</v>
      </c>
      <c r="C96" s="96"/>
      <c r="D96" s="96"/>
      <c r="E96" s="96"/>
      <c r="F96" s="96"/>
      <c r="G96" s="96"/>
      <c r="H96" s="96" t="s">
        <v>172</v>
      </c>
      <c r="I96" s="167">
        <f>I91*B96</f>
        <v>166336.87182806467</v>
      </c>
      <c r="J96" s="396">
        <f>I96/$H$18</f>
        <v>0.27838814202775236</v>
      </c>
      <c r="K96" s="66"/>
      <c r="L96" s="363">
        <f>J96/$J$100</f>
        <v>3.5747883349012223E-2</v>
      </c>
      <c r="M96" s="66">
        <f>I96</f>
        <v>166336.87182806467</v>
      </c>
      <c r="N96" s="66">
        <f t="shared" si="23"/>
        <v>0.27838814202775236</v>
      </c>
      <c r="O96" s="66"/>
    </row>
    <row r="97" spans="1:15" ht="15" thickBot="1">
      <c r="N97" s="66"/>
    </row>
    <row r="98" spans="1:15" ht="15" thickBot="1">
      <c r="A98" s="413" t="s">
        <v>85</v>
      </c>
      <c r="B98" s="414"/>
      <c r="C98" s="414"/>
      <c r="D98" s="414"/>
      <c r="E98" s="414"/>
      <c r="F98" s="414"/>
      <c r="G98" s="414"/>
      <c r="H98" s="414"/>
      <c r="I98" s="415">
        <f>I94+I96</f>
        <v>275769.02434652828</v>
      </c>
      <c r="J98" s="415">
        <f>I98/$H$18</f>
        <v>0.46153823546706318</v>
      </c>
      <c r="K98" s="65"/>
      <c r="L98" s="363">
        <f>J98/$J$100</f>
        <v>5.9266227657572904E-2</v>
      </c>
      <c r="M98" s="415">
        <f>M94+M96</f>
        <v>275769.02434652828</v>
      </c>
      <c r="N98" s="66">
        <f t="shared" si="23"/>
        <v>0.46153823546706318</v>
      </c>
      <c r="O98" s="65"/>
    </row>
    <row r="99" spans="1:15" ht="15" thickBot="1">
      <c r="N99" s="66"/>
    </row>
    <row r="100" spans="1:15" ht="15" thickBot="1">
      <c r="A100" s="413" t="s">
        <v>86</v>
      </c>
      <c r="B100" s="414"/>
      <c r="C100" s="414"/>
      <c r="D100" s="414"/>
      <c r="E100" s="414"/>
      <c r="F100" s="414"/>
      <c r="G100" s="414"/>
      <c r="H100" s="414"/>
      <c r="I100" s="415">
        <f>I91+I98</f>
        <v>4653055.1250850726</v>
      </c>
      <c r="J100" s="416">
        <f>I100/$H$18</f>
        <v>7.7875419730394952</v>
      </c>
      <c r="K100" s="65"/>
      <c r="L100" s="363">
        <f>J100/$J$100</f>
        <v>1</v>
      </c>
      <c r="M100" s="415">
        <f>M91+M98</f>
        <v>4643917.9150850726</v>
      </c>
      <c r="N100" s="66">
        <f t="shared" si="23"/>
        <v>7.7722495674095109</v>
      </c>
      <c r="O100" s="65"/>
    </row>
    <row r="101" spans="1:15">
      <c r="I101" s="66"/>
      <c r="N101" s="66"/>
    </row>
    <row r="102" spans="1:15">
      <c r="A102" s="403" t="s">
        <v>87</v>
      </c>
      <c r="B102" s="418">
        <v>0.1</v>
      </c>
      <c r="C102" s="403"/>
      <c r="D102" s="403"/>
      <c r="E102" s="403"/>
      <c r="F102" s="403"/>
      <c r="G102" s="403"/>
      <c r="H102" s="403"/>
      <c r="I102" s="65">
        <f>I100*B102</f>
        <v>465305.51250850729</v>
      </c>
      <c r="J102" s="65">
        <f>I102/$H$18</f>
        <v>0.77875419730394957</v>
      </c>
      <c r="K102" s="65"/>
      <c r="L102" s="65"/>
      <c r="M102" s="65">
        <f>M100*B102</f>
        <v>464391.79150850727</v>
      </c>
      <c r="N102" s="66">
        <f t="shared" si="23"/>
        <v>0.77722495674095116</v>
      </c>
      <c r="O102" s="65"/>
    </row>
    <row r="103" spans="1:15" ht="15" thickBot="1">
      <c r="N103" s="66"/>
    </row>
    <row r="104" spans="1:15" ht="15" thickBot="1">
      <c r="A104" s="413" t="s">
        <v>88</v>
      </c>
      <c r="B104" s="414"/>
      <c r="C104" s="414"/>
      <c r="D104" s="414"/>
      <c r="E104" s="414"/>
      <c r="F104" s="414"/>
      <c r="G104" s="414"/>
      <c r="H104" s="414"/>
      <c r="I104" s="415">
        <f>I100+I102</f>
        <v>5118360.6375935795</v>
      </c>
      <c r="J104" s="415">
        <f>I104/$H$18</f>
        <v>8.5662961703434437</v>
      </c>
      <c r="K104" s="65"/>
      <c r="L104" s="363">
        <f>J104/$J$100</f>
        <v>1.0999999999999999</v>
      </c>
      <c r="M104" s="415">
        <f>M100+M102</f>
        <v>5108309.7065935796</v>
      </c>
      <c r="N104" s="66">
        <f t="shared" si="23"/>
        <v>8.5494745241504617</v>
      </c>
      <c r="O104" s="65"/>
    </row>
  </sheetData>
  <mergeCells count="12">
    <mergeCell ref="B9:C9"/>
    <mergeCell ref="D9:E9"/>
    <mergeCell ref="B5:E5"/>
    <mergeCell ref="I5:L5"/>
    <mergeCell ref="D6:E6"/>
    <mergeCell ref="D7:E7"/>
    <mergeCell ref="D8:E8"/>
    <mergeCell ref="C10:E10"/>
    <mergeCell ref="I10:N10"/>
    <mergeCell ref="C11:E11"/>
    <mergeCell ref="C12:E12"/>
    <mergeCell ref="C13:E13"/>
  </mergeCells>
  <pageMargins left="0.7" right="0.7" top="0.75" bottom="0.75" header="0.3" footer="0.3"/>
  <pageSetup paperSize="8" fitToHeight="0" orientation="landscape" r:id="rId1"/>
  <customProperties>
    <customPr name="EpmWorksheetKeyString_GUID" r:id="rId2"/>
  </customProperties>
  <drawing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W104"/>
  <sheetViews>
    <sheetView topLeftCell="A19" zoomScaleNormal="100" workbookViewId="0">
      <selection activeCell="B39" sqref="B39:B41"/>
    </sheetView>
  </sheetViews>
  <sheetFormatPr defaultColWidth="8.7265625" defaultRowHeight="14.5"/>
  <cols>
    <col min="1" max="1" width="45.1796875" style="11" customWidth="1"/>
    <col min="2" max="2" width="9.453125" style="11" bestFit="1" customWidth="1"/>
    <col min="3" max="3" width="13.81640625" style="11" bestFit="1" customWidth="1"/>
    <col min="4" max="4" width="10.7265625" style="11" customWidth="1"/>
    <col min="5" max="5" width="16.453125" style="11" bestFit="1" customWidth="1"/>
    <col min="6" max="6" width="15.1796875" style="11" bestFit="1" customWidth="1"/>
    <col min="7" max="7" width="16.7265625" style="11" bestFit="1" customWidth="1"/>
    <col min="8" max="8" width="22.54296875" style="11" bestFit="1" customWidth="1"/>
    <col min="9" max="9" width="16.7265625" style="11" bestFit="1" customWidth="1"/>
    <col min="10" max="10" width="13.81640625" style="11" bestFit="1" customWidth="1"/>
    <col min="11" max="11" width="16.26953125" style="11" bestFit="1" customWidth="1"/>
    <col min="12" max="12" width="8.1796875" style="11" bestFit="1" customWidth="1"/>
    <col min="13" max="13" width="16.26953125" style="11" customWidth="1"/>
    <col min="14" max="14" width="17.453125" style="11" bestFit="1" customWidth="1"/>
    <col min="15" max="15" width="14.7265625" style="11" customWidth="1"/>
    <col min="16" max="16" width="7.26953125" style="11" bestFit="1" customWidth="1"/>
    <col min="17" max="19" width="8.7265625" style="11"/>
    <col min="20" max="21" width="9.54296875" style="11" bestFit="1" customWidth="1"/>
    <col min="22" max="22" width="8.7265625" style="11"/>
    <col min="23" max="23" width="9.54296875" style="11" bestFit="1" customWidth="1"/>
    <col min="24" max="16384" width="8.7265625" style="11"/>
  </cols>
  <sheetData>
    <row r="1" spans="1:14" ht="21">
      <c r="A1" s="366" t="s">
        <v>200</v>
      </c>
      <c r="B1" s="366"/>
      <c r="C1" s="366"/>
      <c r="D1" s="366"/>
      <c r="E1" s="367"/>
      <c r="F1" s="367"/>
      <c r="G1" s="366"/>
      <c r="H1" s="366"/>
    </row>
    <row r="2" spans="1:14">
      <c r="A2" s="100">
        <v>2027</v>
      </c>
      <c r="B2" s="100"/>
      <c r="C2" s="100"/>
      <c r="D2" s="100"/>
      <c r="E2" s="101"/>
      <c r="F2" s="101"/>
      <c r="G2" s="100"/>
      <c r="H2" s="100"/>
    </row>
    <row r="3" spans="1:14">
      <c r="A3" s="368" t="s">
        <v>173</v>
      </c>
      <c r="B3" s="100"/>
      <c r="C3" s="100"/>
      <c r="D3" s="100"/>
      <c r="E3" s="101"/>
      <c r="F3" s="101"/>
      <c r="G3" s="100"/>
      <c r="H3" s="100"/>
    </row>
    <row r="4" spans="1:14">
      <c r="A4" s="100"/>
      <c r="B4" s="100"/>
      <c r="C4" s="100"/>
      <c r="D4" s="100"/>
      <c r="E4" s="101"/>
      <c r="F4" s="101"/>
      <c r="G4" s="100"/>
      <c r="H4" s="100"/>
    </row>
    <row r="5" spans="1:14" ht="60">
      <c r="A5" s="102" t="s">
        <v>174</v>
      </c>
      <c r="B5" s="540" t="s">
        <v>201</v>
      </c>
      <c r="C5" s="540"/>
      <c r="D5" s="540"/>
      <c r="E5" s="540"/>
      <c r="F5" s="103"/>
      <c r="G5" s="107" t="s">
        <v>186</v>
      </c>
      <c r="H5" s="369" t="s">
        <v>331</v>
      </c>
      <c r="I5" s="531" t="s">
        <v>330</v>
      </c>
      <c r="J5" s="532"/>
      <c r="K5" s="532"/>
      <c r="L5" s="533"/>
      <c r="M5" s="100"/>
      <c r="N5" s="100"/>
    </row>
    <row r="6" spans="1:14" ht="16.5">
      <c r="A6" s="102"/>
      <c r="B6" s="370" t="s">
        <v>175</v>
      </c>
      <c r="C6" s="370" t="s">
        <v>176</v>
      </c>
      <c r="D6" s="541" t="s">
        <v>177</v>
      </c>
      <c r="E6" s="542"/>
      <c r="F6" s="103"/>
      <c r="G6" s="102" t="s">
        <v>187</v>
      </c>
      <c r="H6" s="371">
        <f>PROPOSTA2022!H6</f>
        <v>8</v>
      </c>
      <c r="I6" s="372"/>
      <c r="J6" s="108"/>
      <c r="K6" s="108"/>
      <c r="L6" s="108"/>
      <c r="M6" s="108"/>
      <c r="N6" s="108"/>
    </row>
    <row r="7" spans="1:14">
      <c r="A7" s="373" t="s">
        <v>178</v>
      </c>
      <c r="B7" s="374">
        <v>45352</v>
      </c>
      <c r="C7" s="374">
        <v>46081</v>
      </c>
      <c r="D7" s="541">
        <v>2</v>
      </c>
      <c r="E7" s="542"/>
      <c r="F7" s="103"/>
      <c r="G7" s="102" t="s">
        <v>188</v>
      </c>
      <c r="H7" s="371">
        <f>H6*5</f>
        <v>40</v>
      </c>
      <c r="I7" s="104" t="s">
        <v>189</v>
      </c>
      <c r="J7" s="104" t="s">
        <v>190</v>
      </c>
      <c r="K7" s="104" t="s">
        <v>191</v>
      </c>
      <c r="L7" s="104" t="s">
        <v>192</v>
      </c>
      <c r="M7" s="104" t="s">
        <v>193</v>
      </c>
      <c r="N7" s="104" t="s">
        <v>194</v>
      </c>
    </row>
    <row r="8" spans="1:14">
      <c r="A8" s="373" t="s">
        <v>179</v>
      </c>
      <c r="B8" s="374">
        <v>46082</v>
      </c>
      <c r="C8" s="374">
        <v>46812</v>
      </c>
      <c r="D8" s="541">
        <v>2</v>
      </c>
      <c r="E8" s="542"/>
      <c r="F8" s="103"/>
      <c r="G8" s="102" t="s">
        <v>195</v>
      </c>
      <c r="H8" s="371" t="e">
        <f>N8</f>
        <v>#REF!</v>
      </c>
      <c r="I8" s="371" t="e">
        <f>#REF!</f>
        <v>#REF!</v>
      </c>
      <c r="J8" s="371" t="e">
        <f>#REF!</f>
        <v>#REF!</v>
      </c>
      <c r="K8" s="371" t="e">
        <f>#REF!</f>
        <v>#REF!</v>
      </c>
      <c r="L8" s="371" t="e">
        <f>#REF!</f>
        <v>#REF!</v>
      </c>
      <c r="M8" s="377" t="e">
        <f>#REF!</f>
        <v>#REF!</v>
      </c>
      <c r="N8" s="371" t="e">
        <f>I8-J8-K8-L8-M8</f>
        <v>#REF!</v>
      </c>
    </row>
    <row r="9" spans="1:14">
      <c r="A9" s="373" t="s">
        <v>50</v>
      </c>
      <c r="B9" s="543"/>
      <c r="C9" s="544"/>
      <c r="D9" s="541">
        <f>SUM(D7:D8)</f>
        <v>4</v>
      </c>
      <c r="E9" s="542"/>
      <c r="F9" s="103"/>
      <c r="G9" s="102" t="s">
        <v>196</v>
      </c>
      <c r="H9" s="371" t="e">
        <f>H6*H8</f>
        <v>#REF!</v>
      </c>
      <c r="I9" s="356"/>
      <c r="J9" s="100"/>
      <c r="K9" s="101"/>
      <c r="L9" s="101"/>
      <c r="M9" s="100"/>
      <c r="N9" s="100"/>
    </row>
    <row r="10" spans="1:14">
      <c r="A10" s="379" t="s">
        <v>180</v>
      </c>
      <c r="B10" s="380">
        <f>PROPOSTA2022!B10</f>
        <v>1</v>
      </c>
      <c r="C10" s="536"/>
      <c r="D10" s="536"/>
      <c r="E10" s="536"/>
      <c r="F10" s="103"/>
      <c r="G10" s="102" t="s">
        <v>197</v>
      </c>
      <c r="H10" s="371">
        <f>PROPOSTA2022!H10</f>
        <v>1791</v>
      </c>
      <c r="I10" s="534"/>
      <c r="J10" s="535"/>
      <c r="K10" s="535"/>
      <c r="L10" s="535"/>
      <c r="M10" s="535"/>
      <c r="N10" s="535"/>
    </row>
    <row r="11" spans="1:14" ht="15.5">
      <c r="A11" s="373" t="s">
        <v>181</v>
      </c>
      <c r="B11" s="381" t="str">
        <f>PROPOSTA2022!B11</f>
        <v>LOT 1</v>
      </c>
      <c r="C11" s="537" t="str">
        <f>PROPOSTA2022!C11</f>
        <v>SERVEI D'ÀPATS A DOMICILI</v>
      </c>
      <c r="D11" s="538"/>
      <c r="E11" s="539"/>
      <c r="F11" s="103"/>
      <c r="G11" s="356"/>
      <c r="H11" s="356"/>
      <c r="I11" s="356"/>
      <c r="J11" s="356"/>
      <c r="K11" s="356"/>
      <c r="L11" s="356"/>
      <c r="M11" s="356"/>
      <c r="N11" s="356"/>
    </row>
    <row r="12" spans="1:14" ht="15" thickBot="1">
      <c r="A12" s="102" t="s">
        <v>183</v>
      </c>
      <c r="B12" s="380">
        <f>PROPOSTA2022!B12</f>
        <v>7</v>
      </c>
      <c r="C12" s="530" t="str">
        <f>PROPOSTA2022!C12</f>
        <v>De dilluns a diumenge</v>
      </c>
      <c r="D12" s="530"/>
      <c r="E12" s="530"/>
      <c r="F12" s="103"/>
      <c r="G12" s="105" t="s">
        <v>198</v>
      </c>
      <c r="H12" s="109"/>
      <c r="I12" s="356"/>
      <c r="J12" s="356"/>
      <c r="K12" s="356"/>
      <c r="L12" s="356"/>
      <c r="M12" s="110"/>
      <c r="N12" s="356"/>
    </row>
    <row r="13" spans="1:14" ht="15" thickBot="1">
      <c r="A13" s="102" t="s">
        <v>185</v>
      </c>
      <c r="B13" s="380">
        <f>PROPOSTA2022!B13</f>
        <v>365</v>
      </c>
      <c r="C13" s="530" t="str">
        <f>PROPOSTA2022!C13</f>
        <v>De dilluns a diumenge</v>
      </c>
      <c r="D13" s="530"/>
      <c r="E13" s="530"/>
      <c r="F13" s="103"/>
      <c r="G13" s="111" t="s">
        <v>199</v>
      </c>
      <c r="H13" s="112">
        <f>'Original subrogació 2022'!I1</f>
        <v>0.32500000000000001</v>
      </c>
      <c r="I13" s="356"/>
      <c r="J13" s="100"/>
      <c r="K13" s="101"/>
      <c r="L13" s="101"/>
      <c r="M13" s="100"/>
      <c r="N13" s="100"/>
    </row>
    <row r="14" spans="1:14">
      <c r="A14" s="105"/>
      <c r="B14" s="356"/>
      <c r="C14" s="356"/>
      <c r="D14" s="106"/>
      <c r="E14" s="106"/>
      <c r="F14" s="106"/>
      <c r="G14" s="100"/>
      <c r="H14" s="100"/>
    </row>
    <row r="15" spans="1:14">
      <c r="M15" s="349" t="s">
        <v>145</v>
      </c>
      <c r="N15" s="349"/>
    </row>
    <row r="16" spans="1:14">
      <c r="G16" s="11" t="s">
        <v>155</v>
      </c>
      <c r="H16" s="11" t="s">
        <v>146</v>
      </c>
      <c r="I16" s="349" t="s">
        <v>148</v>
      </c>
      <c r="J16" s="349" t="s">
        <v>150</v>
      </c>
      <c r="K16" s="349" t="s">
        <v>143</v>
      </c>
      <c r="L16" s="349"/>
      <c r="M16" s="349" t="s">
        <v>151</v>
      </c>
      <c r="N16" s="349" t="s">
        <v>153</v>
      </c>
    </row>
    <row r="17" spans="1:15">
      <c r="G17" s="11" t="s">
        <v>156</v>
      </c>
      <c r="H17" s="11" t="s">
        <v>147</v>
      </c>
      <c r="I17" s="349" t="s">
        <v>149</v>
      </c>
      <c r="J17" s="349" t="s">
        <v>149</v>
      </c>
      <c r="K17" s="349" t="s">
        <v>144</v>
      </c>
      <c r="L17" s="349" t="s">
        <v>72</v>
      </c>
      <c r="M17" s="349" t="s">
        <v>152</v>
      </c>
      <c r="N17" s="349" t="s">
        <v>152</v>
      </c>
    </row>
    <row r="18" spans="1:15">
      <c r="G18" s="116">
        <f>'Estimacions apats i usuaris'!M34</f>
        <v>1456</v>
      </c>
      <c r="H18" s="116">
        <f>'Estimacions apats i usuaris'!M32</f>
        <v>615424.84078157006</v>
      </c>
    </row>
    <row r="19" spans="1:15" ht="29">
      <c r="B19" s="11" t="s">
        <v>112</v>
      </c>
      <c r="C19" s="11" t="s">
        <v>78</v>
      </c>
      <c r="D19" s="412" t="s">
        <v>79</v>
      </c>
      <c r="E19" s="11" t="s">
        <v>80</v>
      </c>
      <c r="F19" s="11" t="s">
        <v>63</v>
      </c>
      <c r="G19" s="11" t="s">
        <v>66</v>
      </c>
      <c r="H19" s="11" t="s">
        <v>81</v>
      </c>
      <c r="I19" s="11" t="s">
        <v>50</v>
      </c>
    </row>
    <row r="20" spans="1:15">
      <c r="A20" s="349" t="s">
        <v>73</v>
      </c>
    </row>
    <row r="21" spans="1:15">
      <c r="A21" s="11" t="s">
        <v>204</v>
      </c>
      <c r="B21" s="268">
        <f>'Despeses Personal 2023'!AA8</f>
        <v>1</v>
      </c>
      <c r="C21" s="347" t="e">
        <f>$H$9*D21</f>
        <v>#REF!</v>
      </c>
      <c r="D21" s="11">
        <f>PROPOSTA2026!D21</f>
        <v>16</v>
      </c>
      <c r="E21" s="420">
        <f>ROUND(PROPOSTA2026!E21*(1+PROPOSTA2026!$B$31),2)</f>
        <v>371915.58</v>
      </c>
      <c r="F21" s="420">
        <f>ROUND(E21*$H$13,2)</f>
        <v>120872.56</v>
      </c>
      <c r="G21" s="420">
        <f>E21+F21</f>
        <v>492788.14</v>
      </c>
      <c r="H21" s="420">
        <f>ROUND(G21/14,2)</f>
        <v>35199.15</v>
      </c>
      <c r="I21" s="420">
        <f>G21+H21</f>
        <v>527987.29</v>
      </c>
      <c r="J21" s="358">
        <f>I21/$H$18</f>
        <v>0.8579232670060456</v>
      </c>
      <c r="K21" s="66"/>
      <c r="L21" s="66"/>
      <c r="M21" s="66">
        <f>I21</f>
        <v>527987.29</v>
      </c>
      <c r="N21" s="66">
        <f>M21/$H$18</f>
        <v>0.8579232670060456</v>
      </c>
      <c r="O21" s="66"/>
    </row>
    <row r="22" spans="1:15">
      <c r="A22" s="11" t="s">
        <v>205</v>
      </c>
      <c r="B22" s="268">
        <f>'Despeses Personal 2023'!AA5</f>
        <v>0.91666666666666674</v>
      </c>
      <c r="C22" s="347" t="e">
        <f t="shared" ref="C22:C29" si="0">$H$9*D22</f>
        <v>#REF!</v>
      </c>
      <c r="D22" s="11">
        <f>PROPOSTA2026!D22</f>
        <v>6</v>
      </c>
      <c r="E22" s="420">
        <f>ROUND(PROPOSTA2026!E22*(1+PROPOSTA2026!$B$31),2)</f>
        <v>116616.93</v>
      </c>
      <c r="F22" s="420">
        <f>ROUND(E22*$H$13,2)</f>
        <v>37900.5</v>
      </c>
      <c r="G22" s="420">
        <f>E22+F22</f>
        <v>154517.43</v>
      </c>
      <c r="H22" s="420">
        <f>ROUND(G22/14,2)</f>
        <v>11036.96</v>
      </c>
      <c r="I22" s="420">
        <f>G22+H22</f>
        <v>165554.38999999998</v>
      </c>
      <c r="J22" s="358">
        <f t="shared" ref="J22:J40" si="1">I22/$H$18</f>
        <v>0.269008299680837</v>
      </c>
      <c r="K22" s="66"/>
      <c r="L22" s="66"/>
      <c r="M22" s="66">
        <f t="shared" ref="M22:M33" si="2">I22</f>
        <v>165554.38999999998</v>
      </c>
      <c r="N22" s="66">
        <f t="shared" ref="N22:N36" si="3">M22/$H$18</f>
        <v>0.269008299680837</v>
      </c>
      <c r="O22" s="66"/>
    </row>
    <row r="23" spans="1:15">
      <c r="C23" s="347"/>
      <c r="E23" s="420"/>
      <c r="F23" s="357"/>
      <c r="G23" s="357"/>
      <c r="H23" s="357"/>
      <c r="I23" s="357"/>
      <c r="J23" s="357"/>
      <c r="K23" s="66"/>
      <c r="L23" s="66"/>
      <c r="M23" s="66"/>
      <c r="N23" s="66"/>
      <c r="O23" s="66"/>
    </row>
    <row r="24" spans="1:15">
      <c r="A24" s="349" t="s">
        <v>74</v>
      </c>
      <c r="C24" s="347"/>
      <c r="E24" s="420"/>
      <c r="F24" s="357"/>
      <c r="G24" s="357"/>
      <c r="H24" s="357"/>
      <c r="I24" s="357"/>
      <c r="J24" s="357"/>
      <c r="M24" s="66"/>
      <c r="N24" s="66"/>
    </row>
    <row r="25" spans="1:15">
      <c r="A25" s="11" t="s">
        <v>206</v>
      </c>
      <c r="B25" s="268">
        <f>'Despeses Personal 2023'!AA10</f>
        <v>1</v>
      </c>
      <c r="C25" s="347" t="e">
        <f t="shared" si="0"/>
        <v>#REF!</v>
      </c>
      <c r="D25" s="11">
        <f>PROPOSTA2026!D25</f>
        <v>1</v>
      </c>
      <c r="E25" s="420">
        <f>ROUND(PROPOSTA2026!E25*(1+PROPOSTA2026!$B$31),2)</f>
        <v>25366.28</v>
      </c>
      <c r="F25" s="420">
        <f>ROUND(E25*$H$13,2)</f>
        <v>8244.0400000000009</v>
      </c>
      <c r="G25" s="420">
        <f>E25+F25</f>
        <v>33610.32</v>
      </c>
      <c r="H25" s="420">
        <f>ROUND(G25/14,2)</f>
        <v>2400.7399999999998</v>
      </c>
      <c r="I25" s="420">
        <f>G25+H25</f>
        <v>36011.06</v>
      </c>
      <c r="J25" s="358">
        <f t="shared" si="1"/>
        <v>5.8514147648422984E-2</v>
      </c>
      <c r="K25" s="66"/>
      <c r="L25" s="66"/>
      <c r="M25" s="66">
        <f t="shared" si="2"/>
        <v>36011.06</v>
      </c>
      <c r="N25" s="66">
        <f t="shared" si="3"/>
        <v>5.8514147648422984E-2</v>
      </c>
      <c r="O25" s="66"/>
    </row>
    <row r="26" spans="1:15">
      <c r="A26" s="11" t="s">
        <v>207</v>
      </c>
      <c r="B26" s="268">
        <f>'Despeses Personal 2023'!AA9</f>
        <v>1</v>
      </c>
      <c r="C26" s="347" t="e">
        <f t="shared" si="0"/>
        <v>#REF!</v>
      </c>
      <c r="D26" s="11">
        <f>PROPOSTA2026!D26</f>
        <v>1</v>
      </c>
      <c r="E26" s="420">
        <f>ROUND(PROPOSTA2026!E26*(1+PROPOSTA2026!$B$31),2)</f>
        <v>27726.6</v>
      </c>
      <c r="F26" s="420">
        <f>ROUND(E26*$H$13,2)</f>
        <v>9011.15</v>
      </c>
      <c r="G26" s="420">
        <f t="shared" ref="G26:G28" si="4">E26+F26</f>
        <v>36737.75</v>
      </c>
      <c r="H26" s="420">
        <f>ROUND(G26/14,2)</f>
        <v>2624.13</v>
      </c>
      <c r="I26" s="420">
        <f t="shared" ref="I26:I28" si="5">G26+H26</f>
        <v>39361.879999999997</v>
      </c>
      <c r="J26" s="358">
        <f t="shared" si="1"/>
        <v>6.395887424695379E-2</v>
      </c>
      <c r="K26" s="66"/>
      <c r="L26" s="66"/>
      <c r="M26" s="66">
        <f t="shared" si="2"/>
        <v>39361.879999999997</v>
      </c>
      <c r="N26" s="66">
        <f t="shared" si="3"/>
        <v>6.395887424695379E-2</v>
      </c>
      <c r="O26" s="66"/>
    </row>
    <row r="27" spans="1:15">
      <c r="A27" s="11" t="s">
        <v>208</v>
      </c>
      <c r="B27" s="268">
        <f>'Despeses Personal 2023'!AA3</f>
        <v>1</v>
      </c>
      <c r="C27" s="347" t="e">
        <f t="shared" si="0"/>
        <v>#REF!</v>
      </c>
      <c r="D27" s="11">
        <f>PROPOSTA2026!D27</f>
        <v>1</v>
      </c>
      <c r="E27" s="420">
        <f>ROUND(PROPOSTA2026!E27*(1+PROPOSTA2026!$B$31),2)</f>
        <v>23755.05</v>
      </c>
      <c r="F27" s="420">
        <f>ROUND(E27*$H$13,2)</f>
        <v>7720.39</v>
      </c>
      <c r="G27" s="420">
        <f t="shared" si="4"/>
        <v>31475.439999999999</v>
      </c>
      <c r="H27" s="420">
        <f>ROUND(G27/14,2)</f>
        <v>2248.25</v>
      </c>
      <c r="I27" s="420">
        <f t="shared" si="5"/>
        <v>33723.69</v>
      </c>
      <c r="J27" s="358">
        <f t="shared" si="1"/>
        <v>5.4797414347415654E-2</v>
      </c>
      <c r="K27" s="66"/>
      <c r="L27" s="66"/>
      <c r="M27" s="66">
        <f t="shared" si="2"/>
        <v>33723.69</v>
      </c>
      <c r="N27" s="66">
        <f t="shared" si="3"/>
        <v>5.4797414347415654E-2</v>
      </c>
      <c r="O27" s="66"/>
    </row>
    <row r="28" spans="1:15">
      <c r="A28" s="11" t="s">
        <v>209</v>
      </c>
      <c r="B28" s="268">
        <f>'Despeses Personal 2023'!AA4</f>
        <v>1</v>
      </c>
      <c r="C28" s="347" t="e">
        <f t="shared" si="0"/>
        <v>#REF!</v>
      </c>
      <c r="D28" s="11">
        <f>PROPOSTA2026!D28</f>
        <v>2</v>
      </c>
      <c r="E28" s="420">
        <f>ROUND(PROPOSTA2026!E28*(1+PROPOSTA2026!$B$31),2)</f>
        <v>42294.720000000001</v>
      </c>
      <c r="F28" s="420">
        <f>ROUND(E28*$H$13,2)</f>
        <v>13745.78</v>
      </c>
      <c r="G28" s="420">
        <f t="shared" si="4"/>
        <v>56040.5</v>
      </c>
      <c r="H28" s="420">
        <f>ROUND(G28/14,2)</f>
        <v>4002.89</v>
      </c>
      <c r="I28" s="420">
        <f t="shared" si="5"/>
        <v>60043.39</v>
      </c>
      <c r="J28" s="358">
        <f t="shared" si="1"/>
        <v>9.7564131346643074E-2</v>
      </c>
      <c r="K28" s="66"/>
      <c r="L28" s="66"/>
      <c r="M28" s="66">
        <f t="shared" si="2"/>
        <v>60043.39</v>
      </c>
      <c r="N28" s="66">
        <f t="shared" si="3"/>
        <v>9.7564131346643074E-2</v>
      </c>
      <c r="O28" s="66"/>
    </row>
    <row r="29" spans="1:15">
      <c r="A29" s="11" t="s">
        <v>210</v>
      </c>
      <c r="B29" s="268">
        <f>'Despeses Personal 2023'!AA11</f>
        <v>1</v>
      </c>
      <c r="C29" s="347" t="e">
        <f t="shared" si="0"/>
        <v>#REF!</v>
      </c>
      <c r="D29" s="11">
        <f>PROPOSTA2026!D29</f>
        <v>1</v>
      </c>
      <c r="E29" s="420">
        <f>ROUND(PROPOSTA2026!E29*(1+PROPOSTA2026!$B$31),2)</f>
        <v>23755.05</v>
      </c>
      <c r="F29" s="420">
        <f>ROUND(E29*$H$13,2)</f>
        <v>7720.39</v>
      </c>
      <c r="G29" s="420">
        <f>E29+F29</f>
        <v>31475.439999999999</v>
      </c>
      <c r="H29" s="420">
        <f>ROUND(G29/14,2)</f>
        <v>2248.25</v>
      </c>
      <c r="I29" s="420">
        <f>G29+H29</f>
        <v>33723.69</v>
      </c>
      <c r="J29" s="358">
        <f t="shared" si="1"/>
        <v>5.4797414347415654E-2</v>
      </c>
      <c r="K29" s="66"/>
      <c r="L29" s="66"/>
      <c r="M29" s="66">
        <f t="shared" si="2"/>
        <v>33723.69</v>
      </c>
      <c r="N29" s="66">
        <f t="shared" si="3"/>
        <v>5.4797414347415654E-2</v>
      </c>
      <c r="O29" s="66"/>
    </row>
    <row r="30" spans="1:15">
      <c r="E30" s="420"/>
      <c r="F30" s="420"/>
      <c r="G30" s="420"/>
      <c r="H30" s="420"/>
      <c r="I30" s="420"/>
      <c r="J30" s="358"/>
      <c r="M30" s="66"/>
      <c r="N30" s="66"/>
    </row>
    <row r="31" spans="1:15">
      <c r="A31" s="11" t="s">
        <v>211</v>
      </c>
      <c r="B31" s="268">
        <f>'Estimacio index increm salarial'!G31</f>
        <v>0.02</v>
      </c>
      <c r="E31" s="420">
        <f>ROUND(($E$21+$E$22+SUM($E$25:$E$29))*B31,2)</f>
        <v>12628.6</v>
      </c>
      <c r="F31" s="420">
        <f>ROUND(E31*$H$13,2)</f>
        <v>4104.3</v>
      </c>
      <c r="G31" s="420">
        <f>E31+F31</f>
        <v>16732.900000000001</v>
      </c>
      <c r="H31" s="420">
        <f>ROUND(G31/14,2)</f>
        <v>1195.21</v>
      </c>
      <c r="I31" s="420">
        <f>G31+H31</f>
        <v>17928.11</v>
      </c>
      <c r="J31" s="358">
        <f>I31/$H$18</f>
        <v>2.9131274547241005E-2</v>
      </c>
      <c r="K31" s="66"/>
      <c r="L31" s="66"/>
      <c r="M31" s="66">
        <f t="shared" si="2"/>
        <v>17928.11</v>
      </c>
      <c r="N31" s="66">
        <f t="shared" si="3"/>
        <v>2.9131274547241005E-2</v>
      </c>
      <c r="O31" s="66"/>
    </row>
    <row r="32" spans="1:15">
      <c r="A32" s="11" t="s">
        <v>212</v>
      </c>
      <c r="B32" s="268">
        <f>PROPOSTA2026!B32</f>
        <v>6.3E-2</v>
      </c>
      <c r="E32" s="420">
        <f>ROUND(($E$21+$E$22+SUM($E$25:$E$29))*B32,2)</f>
        <v>39780.1</v>
      </c>
      <c r="F32" s="420">
        <f>ROUND(E32*$H$13,2)</f>
        <v>12928.53</v>
      </c>
      <c r="G32" s="420">
        <f>E32+F32</f>
        <v>52708.63</v>
      </c>
      <c r="H32" s="420">
        <f>ROUND(G32/14,2)</f>
        <v>3764.9</v>
      </c>
      <c r="I32" s="420">
        <f>G32+H32</f>
        <v>56473.53</v>
      </c>
      <c r="J32" s="358">
        <f t="shared" si="1"/>
        <v>9.1763488013061681E-2</v>
      </c>
      <c r="K32" s="66"/>
      <c r="L32" s="66"/>
      <c r="M32" s="66">
        <f t="shared" si="2"/>
        <v>56473.53</v>
      </c>
      <c r="N32" s="66">
        <f t="shared" si="3"/>
        <v>9.1763488013061681E-2</v>
      </c>
      <c r="O32" s="66"/>
    </row>
    <row r="33" spans="1:15">
      <c r="A33" s="11" t="s">
        <v>213</v>
      </c>
      <c r="B33" s="268">
        <f>PROPOSTA2026!B33</f>
        <v>0.01</v>
      </c>
      <c r="E33" s="420">
        <f>ROUND(($E$21+$E$22+SUM($E$25:$E$29))*B33,2)</f>
        <v>6314.3</v>
      </c>
      <c r="F33" s="420">
        <f>ROUND(E33*$H$13,2)</f>
        <v>2052.15</v>
      </c>
      <c r="G33" s="420">
        <f>E33+F33</f>
        <v>8366.4500000000007</v>
      </c>
      <c r="H33" s="420">
        <f>ROUND(G33/14,2)</f>
        <v>597.6</v>
      </c>
      <c r="I33" s="420">
        <f>G33+H33</f>
        <v>8964.0500000000011</v>
      </c>
      <c r="J33" s="358">
        <f t="shared" si="1"/>
        <v>1.456562914915157E-2</v>
      </c>
      <c r="K33" s="66"/>
      <c r="L33" s="66"/>
      <c r="M33" s="66">
        <f t="shared" si="2"/>
        <v>8964.0500000000011</v>
      </c>
      <c r="N33" s="66">
        <f t="shared" si="3"/>
        <v>1.456562914915157E-2</v>
      </c>
      <c r="O33" s="66"/>
    </row>
    <row r="34" spans="1:15">
      <c r="A34" s="11" t="s">
        <v>214</v>
      </c>
      <c r="B34" s="268">
        <f>PROPOSTA2026!B34</f>
        <v>0.01</v>
      </c>
      <c r="E34" s="420">
        <f>ROUND(($E$21+$E$22+SUM($E$25:$E$29))*B34,2)</f>
        <v>6314.3</v>
      </c>
      <c r="F34" s="420">
        <f>ROUND(E34*$H$13,2)</f>
        <v>2052.15</v>
      </c>
      <c r="G34" s="420">
        <f>E34+F34</f>
        <v>8366.4500000000007</v>
      </c>
      <c r="H34" s="420">
        <f>ROUND(G34/14,2)</f>
        <v>597.6</v>
      </c>
      <c r="I34" s="420">
        <f>G34+H34</f>
        <v>8964.0500000000011</v>
      </c>
      <c r="J34" s="358">
        <f t="shared" si="1"/>
        <v>1.456562914915157E-2</v>
      </c>
      <c r="K34" s="66"/>
      <c r="L34" s="66"/>
      <c r="M34" s="66">
        <f>I34</f>
        <v>8964.0500000000011</v>
      </c>
      <c r="N34" s="66">
        <f t="shared" si="3"/>
        <v>1.456562914915157E-2</v>
      </c>
      <c r="O34" s="66"/>
    </row>
    <row r="35" spans="1:15">
      <c r="E35" s="357"/>
      <c r="F35" s="357"/>
      <c r="G35" s="357"/>
      <c r="H35" s="357"/>
      <c r="I35" s="357"/>
      <c r="J35" s="358"/>
    </row>
    <row r="36" spans="1:15" s="349" customFormat="1">
      <c r="A36" s="359" t="s">
        <v>77</v>
      </c>
      <c r="B36" s="348"/>
      <c r="C36" s="348"/>
      <c r="D36" s="350">
        <f>SUM(D21:D34)</f>
        <v>28</v>
      </c>
      <c r="E36" s="360">
        <f>E21+E22+SUM(E25:E29)+SUM(E31:E34)</f>
        <v>696467.51</v>
      </c>
      <c r="F36" s="360">
        <f>F21+F22+SUM(F25:F29)+SUM(F31:F34)</f>
        <v>226351.94</v>
      </c>
      <c r="G36" s="360">
        <f>G21+G22+SUM(G25:G29)+SUM(G31:G34)</f>
        <v>922819.45</v>
      </c>
      <c r="H36" s="360">
        <f>H21+H22+SUM(H25:H29)+SUM(H31:H34)</f>
        <v>65915.680000000008</v>
      </c>
      <c r="I36" s="361">
        <f>I21+I22+SUM(I25:I29)+SUM(I31:I34)</f>
        <v>988735.13000000012</v>
      </c>
      <c r="J36" s="361">
        <f>I36/$H$18</f>
        <v>1.6065895694823398</v>
      </c>
      <c r="K36" s="362"/>
      <c r="L36" s="363">
        <f>J36/$J$100</f>
        <v>0.20341171851656953</v>
      </c>
      <c r="M36" s="364">
        <f>M21+M22+SUM(M25:M29)+SUM(M31:M34)</f>
        <v>988735.13000000012</v>
      </c>
      <c r="N36" s="66">
        <f t="shared" si="3"/>
        <v>1.6065895694823398</v>
      </c>
      <c r="O36" s="362"/>
    </row>
    <row r="37" spans="1:15">
      <c r="E37" s="357"/>
      <c r="F37" s="357"/>
      <c r="G37" s="357"/>
      <c r="H37" s="357"/>
      <c r="I37" s="357"/>
      <c r="J37" s="358"/>
    </row>
    <row r="38" spans="1:15" s="349" customFormat="1">
      <c r="A38" s="349" t="s">
        <v>75</v>
      </c>
      <c r="E38" s="365"/>
      <c r="F38" s="365"/>
      <c r="G38" s="365"/>
      <c r="H38" s="365"/>
      <c r="I38" s="365"/>
      <c r="J38" s="358"/>
    </row>
    <row r="39" spans="1:15">
      <c r="A39" s="11" t="s">
        <v>215</v>
      </c>
      <c r="B39" s="268">
        <f>'Despeses Personal 2023'!AA7</f>
        <v>1</v>
      </c>
      <c r="C39" s="347" t="e">
        <f t="shared" ref="C39:C41" si="6">$H$9*D39</f>
        <v>#REF!</v>
      </c>
      <c r="D39" s="11">
        <f>PROPOSTA2026!D39</f>
        <v>2</v>
      </c>
      <c r="E39" s="420">
        <f>ROUND(PROPOSTA2026!E39*(1+PROPOSTA2026!$B$31),2)</f>
        <v>52286.87</v>
      </c>
      <c r="F39" s="420">
        <f>ROUND(E39*$H$13,2)</f>
        <v>16993.23</v>
      </c>
      <c r="G39" s="420">
        <f>E39+F39</f>
        <v>69280.100000000006</v>
      </c>
      <c r="H39" s="420">
        <f>ROUND(G39/14,2)</f>
        <v>4948.58</v>
      </c>
      <c r="I39" s="420">
        <f>G39+H39</f>
        <v>74228.680000000008</v>
      </c>
      <c r="J39" s="358">
        <f>I39/$H$18</f>
        <v>0.12061372093094574</v>
      </c>
      <c r="K39" s="66"/>
      <c r="L39" s="66"/>
      <c r="M39" s="66">
        <f>I39</f>
        <v>74228.680000000008</v>
      </c>
      <c r="N39" s="66">
        <f t="shared" ref="N39:N46" si="7">M39/$H$18</f>
        <v>0.12061372093094574</v>
      </c>
      <c r="O39" s="66"/>
    </row>
    <row r="40" spans="1:15">
      <c r="A40" s="11" t="s">
        <v>216</v>
      </c>
      <c r="B40" s="268">
        <f>'Despeses Personal 2023'!AA12</f>
        <v>1</v>
      </c>
      <c r="C40" s="347" t="e">
        <f t="shared" si="6"/>
        <v>#REF!</v>
      </c>
      <c r="D40" s="11">
        <f>PROPOSTA2026!D40</f>
        <v>2</v>
      </c>
      <c r="E40" s="420">
        <f>ROUND(PROPOSTA2026!E40*(1+PROPOSTA2026!$B$31),2)</f>
        <v>41506.730000000003</v>
      </c>
      <c r="F40" s="420">
        <f>ROUND(E40*$H$13,2)</f>
        <v>13489.69</v>
      </c>
      <c r="G40" s="420">
        <f>E40+F40</f>
        <v>54996.420000000006</v>
      </c>
      <c r="H40" s="420">
        <f>ROUND(G40/14,2)</f>
        <v>3928.32</v>
      </c>
      <c r="I40" s="420">
        <f>G40+H40</f>
        <v>58924.740000000005</v>
      </c>
      <c r="J40" s="358">
        <f t="shared" si="1"/>
        <v>9.5746443912090792E-2</v>
      </c>
      <c r="K40" s="66"/>
      <c r="L40" s="66"/>
      <c r="M40" s="66">
        <f t="shared" ref="M40:M46" si="8">I40</f>
        <v>58924.740000000005</v>
      </c>
      <c r="N40" s="66">
        <f t="shared" si="7"/>
        <v>9.5746443912090792E-2</v>
      </c>
      <c r="O40" s="66"/>
    </row>
    <row r="41" spans="1:15">
      <c r="A41" s="11" t="s">
        <v>217</v>
      </c>
      <c r="B41" s="268">
        <f>'Despeses Personal 2023'!AA6</f>
        <v>0.875</v>
      </c>
      <c r="C41" s="347" t="e">
        <f t="shared" si="6"/>
        <v>#REF!</v>
      </c>
      <c r="D41" s="11">
        <f>PROPOSTA2026!D41</f>
        <v>2</v>
      </c>
      <c r="E41" s="420">
        <f>ROUND(PROPOSTA2026!E41*(1+PROPOSTA2026!$B$31),2)</f>
        <v>37161.25</v>
      </c>
      <c r="F41" s="420">
        <f>ROUND(E41*$H$13,2)</f>
        <v>12077.41</v>
      </c>
      <c r="G41" s="420">
        <f>E41+F41</f>
        <v>49238.66</v>
      </c>
      <c r="H41" s="420">
        <f>ROUND(G41/14,2)</f>
        <v>3517.05</v>
      </c>
      <c r="I41" s="420">
        <f>G41+H41</f>
        <v>52755.710000000006</v>
      </c>
      <c r="J41" s="358">
        <f>I41/$H$18</f>
        <v>8.5722425394792204E-2</v>
      </c>
      <c r="K41" s="66"/>
      <c r="L41" s="66"/>
      <c r="M41" s="66">
        <f t="shared" si="8"/>
        <v>52755.710000000006</v>
      </c>
      <c r="N41" s="66">
        <f t="shared" si="7"/>
        <v>8.5722425394792204E-2</v>
      </c>
      <c r="O41" s="66"/>
    </row>
    <row r="42" spans="1:15">
      <c r="E42" s="420"/>
      <c r="F42" s="420"/>
      <c r="G42" s="420"/>
      <c r="H42" s="420"/>
      <c r="I42" s="420"/>
      <c r="J42" s="357"/>
      <c r="M42" s="66"/>
      <c r="N42" s="66"/>
    </row>
    <row r="43" spans="1:15">
      <c r="A43" s="11" t="s">
        <v>211</v>
      </c>
      <c r="B43" s="268">
        <f>B31</f>
        <v>0.02</v>
      </c>
      <c r="E43" s="420">
        <f>ROUND(SUM($E$39:$E$41)*B43,2)</f>
        <v>2619.1</v>
      </c>
      <c r="F43" s="420">
        <f>ROUND(E43*$H$13,2)</f>
        <v>851.21</v>
      </c>
      <c r="G43" s="420">
        <f>E43+F43</f>
        <v>3470.31</v>
      </c>
      <c r="H43" s="420">
        <f>ROUND(G43/14,2)</f>
        <v>247.88</v>
      </c>
      <c r="I43" s="420">
        <f>G43+H43</f>
        <v>3718.19</v>
      </c>
      <c r="J43" s="431">
        <f>I43/$H$18</f>
        <v>6.0416638289705962E-3</v>
      </c>
      <c r="K43" s="66"/>
      <c r="L43" s="66"/>
      <c r="M43" s="66">
        <f t="shared" si="8"/>
        <v>3718.19</v>
      </c>
      <c r="N43" s="66">
        <f t="shared" si="7"/>
        <v>6.0416638289705962E-3</v>
      </c>
      <c r="O43" s="66"/>
    </row>
    <row r="44" spans="1:15">
      <c r="A44" s="11" t="s">
        <v>212</v>
      </c>
      <c r="B44" s="268">
        <f>PROPOSTA2026!B44</f>
        <v>6.3E-2</v>
      </c>
      <c r="E44" s="420">
        <f>ROUND(SUM($E$39:$E$41)*B44,2)</f>
        <v>8250.16</v>
      </c>
      <c r="F44" s="420">
        <f>ROUND(E44*$H$13,2)</f>
        <v>2681.3</v>
      </c>
      <c r="G44" s="420">
        <f t="shared" ref="G44:G46" si="9">E44+F44</f>
        <v>10931.46</v>
      </c>
      <c r="H44" s="420">
        <f>ROUND(G44/14,2)</f>
        <v>780.82</v>
      </c>
      <c r="I44" s="420">
        <f t="shared" ref="I44:I46" si="10">G44+H44</f>
        <v>11712.279999999999</v>
      </c>
      <c r="J44" s="431">
        <f>I44/$H$18</f>
        <v>1.9031211000722321E-2</v>
      </c>
      <c r="K44" s="66"/>
      <c r="L44" s="66"/>
      <c r="M44" s="66">
        <f t="shared" si="8"/>
        <v>11712.279999999999</v>
      </c>
      <c r="N44" s="66">
        <f t="shared" si="7"/>
        <v>1.9031211000722321E-2</v>
      </c>
      <c r="O44" s="66"/>
    </row>
    <row r="45" spans="1:15">
      <c r="A45" s="11" t="s">
        <v>213</v>
      </c>
      <c r="B45" s="268">
        <f>B33</f>
        <v>0.01</v>
      </c>
      <c r="E45" s="420">
        <f>ROUND(SUM($E$39:$E$41)*B45,2)</f>
        <v>1309.55</v>
      </c>
      <c r="F45" s="420">
        <f>ROUND(E45*$H$13,2)</f>
        <v>425.6</v>
      </c>
      <c r="G45" s="420">
        <f t="shared" si="9"/>
        <v>1735.15</v>
      </c>
      <c r="H45" s="420">
        <f>ROUND(G45/14,2)</f>
        <v>123.94</v>
      </c>
      <c r="I45" s="420">
        <f t="shared" si="10"/>
        <v>1859.0900000000001</v>
      </c>
      <c r="J45" s="431">
        <f>I45/$H$18</f>
        <v>3.0208237900163646E-3</v>
      </c>
      <c r="K45" s="66"/>
      <c r="L45" s="66"/>
      <c r="M45" s="66">
        <f t="shared" si="8"/>
        <v>1859.0900000000001</v>
      </c>
      <c r="N45" s="66">
        <f t="shared" si="7"/>
        <v>3.0208237900163646E-3</v>
      </c>
      <c r="O45" s="66"/>
    </row>
    <row r="46" spans="1:15">
      <c r="A46" s="11" t="s">
        <v>214</v>
      </c>
      <c r="B46" s="268">
        <f>B34</f>
        <v>0.01</v>
      </c>
      <c r="E46" s="420">
        <f>ROUND(SUM($E$39:$E$41)*B46,2)</f>
        <v>1309.55</v>
      </c>
      <c r="F46" s="420">
        <f>ROUND(E46*$H$13,2)</f>
        <v>425.6</v>
      </c>
      <c r="G46" s="420">
        <f t="shared" si="9"/>
        <v>1735.15</v>
      </c>
      <c r="H46" s="420">
        <f>ROUND(G46/14,2)</f>
        <v>123.94</v>
      </c>
      <c r="I46" s="420">
        <f t="shared" si="10"/>
        <v>1859.0900000000001</v>
      </c>
      <c r="J46" s="431">
        <f>I46/$H$18</f>
        <v>3.0208237900163646E-3</v>
      </c>
      <c r="K46" s="66"/>
      <c r="L46" s="66"/>
      <c r="M46" s="66">
        <f t="shared" si="8"/>
        <v>1859.0900000000001</v>
      </c>
      <c r="N46" s="66">
        <f t="shared" si="7"/>
        <v>3.0208237900163646E-3</v>
      </c>
      <c r="O46" s="66"/>
    </row>
    <row r="47" spans="1:15">
      <c r="E47" s="357"/>
      <c r="F47" s="357"/>
      <c r="G47" s="357"/>
      <c r="H47" s="357"/>
      <c r="I47" s="357"/>
      <c r="J47" s="357"/>
    </row>
    <row r="48" spans="1:15">
      <c r="A48" s="359" t="s">
        <v>76</v>
      </c>
      <c r="B48" s="383"/>
      <c r="C48" s="383"/>
      <c r="D48" s="350">
        <f>SUM(D39:D46)</f>
        <v>6</v>
      </c>
      <c r="E48" s="360">
        <f>SUM(E39:E41)+SUM(E43:E46)</f>
        <v>144443.21</v>
      </c>
      <c r="F48" s="360">
        <f t="shared" ref="F48:H48" si="11">SUM(F39:F41)+SUM(F43:F46)</f>
        <v>46944.04</v>
      </c>
      <c r="G48" s="360">
        <f t="shared" si="11"/>
        <v>191387.25000000003</v>
      </c>
      <c r="H48" s="360">
        <f t="shared" si="11"/>
        <v>13670.53</v>
      </c>
      <c r="I48" s="361">
        <f>SUM(I39:I41)+SUM(I43:I46)</f>
        <v>205057.78</v>
      </c>
      <c r="J48" s="361">
        <f>I48/$H$18</f>
        <v>0.33319711264755436</v>
      </c>
      <c r="K48" s="362"/>
      <c r="L48" s="363">
        <f>J48/$J$100</f>
        <v>4.218637950589723E-2</v>
      </c>
      <c r="M48" s="364">
        <f>SUM(M39:M41)+SUM(M43:M46)</f>
        <v>205057.78</v>
      </c>
      <c r="N48" s="66">
        <f t="shared" ref="N48" si="12">M48/$H$18</f>
        <v>0.33319711264755436</v>
      </c>
      <c r="O48" s="362"/>
    </row>
    <row r="49" spans="1:23" ht="15" thickBot="1">
      <c r="E49" s="357"/>
      <c r="F49" s="357"/>
      <c r="G49" s="357"/>
      <c r="H49" s="357"/>
      <c r="I49" s="357"/>
      <c r="J49" s="357"/>
    </row>
    <row r="50" spans="1:23" s="349" customFormat="1" ht="15" thickBot="1">
      <c r="A50" s="384" t="s">
        <v>82</v>
      </c>
      <c r="B50" s="385"/>
      <c r="C50" s="385"/>
      <c r="D50" s="386">
        <f>D36+D48</f>
        <v>34</v>
      </c>
      <c r="E50" s="387">
        <f>E36+E48</f>
        <v>840910.72</v>
      </c>
      <c r="F50" s="387">
        <f t="shared" ref="F50:H50" si="13">F36+F48</f>
        <v>273295.98</v>
      </c>
      <c r="G50" s="387">
        <f t="shared" si="13"/>
        <v>1114206.7</v>
      </c>
      <c r="H50" s="387">
        <f t="shared" si="13"/>
        <v>79586.210000000006</v>
      </c>
      <c r="I50" s="388">
        <f>I36+I48</f>
        <v>1193792.9100000001</v>
      </c>
      <c r="J50" s="361">
        <f>I50/$H$18</f>
        <v>1.9397866821298941</v>
      </c>
      <c r="K50" s="362"/>
      <c r="L50" s="363">
        <f>J50/$J$100</f>
        <v>0.24559809802246677</v>
      </c>
      <c r="M50" s="389">
        <f>M36+M48</f>
        <v>1193792.9100000001</v>
      </c>
      <c r="N50" s="66">
        <f t="shared" ref="N50" si="14">M50/$H$18</f>
        <v>1.9397866821298941</v>
      </c>
      <c r="O50" s="362"/>
    </row>
    <row r="52" spans="1:23">
      <c r="D52" s="11" t="s">
        <v>91</v>
      </c>
    </row>
    <row r="53" spans="1:23">
      <c r="C53" s="11" t="s">
        <v>90</v>
      </c>
      <c r="D53" s="11" t="s">
        <v>103</v>
      </c>
      <c r="I53" s="11" t="s">
        <v>50</v>
      </c>
      <c r="T53" s="169"/>
    </row>
    <row r="54" spans="1:23">
      <c r="A54" s="11" t="s">
        <v>89</v>
      </c>
      <c r="D54" s="96"/>
    </row>
    <row r="55" spans="1:23">
      <c r="A55" s="11" t="s">
        <v>218</v>
      </c>
      <c r="C55" s="421">
        <f>'Estimacio increment IPC'!X12</f>
        <v>4.1798385199475945</v>
      </c>
      <c r="D55" s="116">
        <f>H18</f>
        <v>615424.84078157006</v>
      </c>
      <c r="I55" s="21">
        <f>C55*D55</f>
        <v>2572376.4556314219</v>
      </c>
      <c r="J55" s="65">
        <f>I55/$H$18</f>
        <v>4.1798385199475945</v>
      </c>
      <c r="K55" s="21"/>
      <c r="L55" s="21"/>
      <c r="M55" s="66">
        <f t="shared" ref="M55:M58" si="15">I55</f>
        <v>2572376.4556314219</v>
      </c>
      <c r="N55" s="66">
        <f t="shared" ref="N55:N60" si="16">M55/$H$18</f>
        <v>4.1798385199475945</v>
      </c>
      <c r="O55" s="21"/>
      <c r="W55" s="169"/>
    </row>
    <row r="56" spans="1:23">
      <c r="A56" s="11" t="s">
        <v>219</v>
      </c>
      <c r="B56" s="390">
        <v>0.65</v>
      </c>
      <c r="C56" s="96">
        <f>C55*B56</f>
        <v>2.7168950379659367</v>
      </c>
      <c r="D56" s="116">
        <f>D55*B56</f>
        <v>400026.14650802058</v>
      </c>
      <c r="I56" s="21">
        <f>D56*C55</f>
        <v>1672044.6961604243</v>
      </c>
      <c r="J56" s="65">
        <f t="shared" ref="J56:J57" si="17">I56/$H$18</f>
        <v>2.7168950379659367</v>
      </c>
      <c r="K56" s="21"/>
      <c r="L56" s="21"/>
      <c r="M56" s="66"/>
      <c r="N56" s="66"/>
      <c r="O56" s="21"/>
      <c r="W56" s="169"/>
    </row>
    <row r="57" spans="1:23">
      <c r="A57" s="11" t="s">
        <v>220</v>
      </c>
      <c r="B57" s="390">
        <v>0.35</v>
      </c>
      <c r="C57" s="96">
        <f>C55*B57</f>
        <v>1.462943481981658</v>
      </c>
      <c r="D57" s="116">
        <f>D55*B57</f>
        <v>215398.69427354951</v>
      </c>
      <c r="I57" s="21">
        <f>D57*C55</f>
        <v>900331.75947099761</v>
      </c>
      <c r="J57" s="65">
        <f t="shared" si="17"/>
        <v>1.462943481981658</v>
      </c>
      <c r="K57" s="21"/>
      <c r="L57" s="21"/>
      <c r="M57" s="66"/>
      <c r="N57" s="66"/>
      <c r="O57" s="21"/>
      <c r="W57" s="169"/>
    </row>
    <row r="58" spans="1:23">
      <c r="A58" s="11" t="s">
        <v>221</v>
      </c>
      <c r="C58" s="422">
        <f>ROUND(PROPOSTA2026!C58*(1+'Estimacio increment IPC'!$G$12),2)</f>
        <v>0.15</v>
      </c>
      <c r="D58" s="116">
        <f>52*37*G18</f>
        <v>2801344</v>
      </c>
      <c r="E58" s="11">
        <f>D58/D55</f>
        <v>4.5518864601604019</v>
      </c>
      <c r="F58" s="11">
        <v>5.29</v>
      </c>
      <c r="G58" s="68"/>
      <c r="I58" s="21">
        <f>C58*D58</f>
        <v>420201.6</v>
      </c>
      <c r="J58" s="65">
        <f>I58/$H$18</f>
        <v>0.68278296902406033</v>
      </c>
      <c r="K58" s="21"/>
      <c r="L58" s="21"/>
      <c r="M58" s="66">
        <f t="shared" si="15"/>
        <v>420201.6</v>
      </c>
      <c r="N58" s="66">
        <f t="shared" si="16"/>
        <v>0.68278296902406033</v>
      </c>
      <c r="O58" s="21"/>
      <c r="Q58" s="11" t="s">
        <v>170</v>
      </c>
    </row>
    <row r="59" spans="1:23">
      <c r="A59" s="11" t="s">
        <v>92</v>
      </c>
      <c r="P59" s="11">
        <v>0.19</v>
      </c>
      <c r="Q59" s="11" t="s">
        <v>171</v>
      </c>
    </row>
    <row r="60" spans="1:23">
      <c r="A60" s="399" t="s">
        <v>93</v>
      </c>
      <c r="B60" s="400"/>
      <c r="C60" s="400"/>
      <c r="D60" s="400"/>
      <c r="E60" s="400"/>
      <c r="F60" s="400"/>
      <c r="G60" s="400"/>
      <c r="H60" s="400"/>
      <c r="I60" s="401">
        <f>I55+I58</f>
        <v>2992578.055631422</v>
      </c>
      <c r="J60" s="401">
        <f>I60/$H$18</f>
        <v>4.862621488971655</v>
      </c>
      <c r="K60" s="402"/>
      <c r="L60" s="363">
        <f>J60/$J$100</f>
        <v>0.61566078378439093</v>
      </c>
      <c r="M60" s="401">
        <f>M55+M58</f>
        <v>2992578.055631422</v>
      </c>
      <c r="N60" s="66">
        <f t="shared" si="16"/>
        <v>4.862621488971655</v>
      </c>
      <c r="O60" s="402"/>
    </row>
    <row r="61" spans="1:23">
      <c r="A61" s="403"/>
      <c r="B61" s="403"/>
      <c r="C61" s="403"/>
      <c r="D61" s="403"/>
      <c r="E61" s="403"/>
      <c r="F61" s="403"/>
      <c r="G61" s="403"/>
      <c r="H61" s="403"/>
      <c r="I61" s="404"/>
      <c r="J61" s="404"/>
      <c r="K61" s="404"/>
      <c r="L61" s="404"/>
      <c r="M61" s="404"/>
      <c r="N61" s="404"/>
      <c r="O61" s="404"/>
    </row>
    <row r="62" spans="1:23">
      <c r="C62" s="11" t="s">
        <v>90</v>
      </c>
      <c r="D62" s="11" t="s">
        <v>103</v>
      </c>
      <c r="E62" s="11" t="s">
        <v>131</v>
      </c>
      <c r="F62" s="11" t="s">
        <v>158</v>
      </c>
      <c r="G62" s="11" t="s">
        <v>159</v>
      </c>
      <c r="I62" s="11" t="s">
        <v>104</v>
      </c>
    </row>
    <row r="63" spans="1:23">
      <c r="C63" s="96"/>
    </row>
    <row r="64" spans="1:23">
      <c r="A64" s="11" t="s">
        <v>111</v>
      </c>
      <c r="C64" s="140">
        <f>ROUND(PROPOSTA2026!C64*(1+'Estimacio increment IPC'!$G$12),2)</f>
        <v>29.32</v>
      </c>
      <c r="D64" s="11">
        <f>PROPOSTA2022!D64</f>
        <v>52</v>
      </c>
      <c r="I64" s="143">
        <f>C64*D64</f>
        <v>1524.64</v>
      </c>
      <c r="J64" s="65">
        <f>I64/$H$18</f>
        <v>2.4773780630365123E-3</v>
      </c>
      <c r="K64" s="64"/>
      <c r="L64" s="64"/>
      <c r="M64" s="66">
        <f t="shared" ref="M64:M84" si="18">I64</f>
        <v>1524.64</v>
      </c>
      <c r="N64" s="66">
        <f t="shared" ref="N64:N84" si="19">M64/$H$18</f>
        <v>2.4773780630365123E-3</v>
      </c>
      <c r="O64" s="64"/>
    </row>
    <row r="65" spans="1:19">
      <c r="A65" s="11" t="s">
        <v>100</v>
      </c>
      <c r="C65" s="140">
        <f>ROUND(PROPOSTA2026!C65*(1+'Estimacio increment IPC'!$G$12),2)</f>
        <v>909.13</v>
      </c>
      <c r="D65" s="11">
        <f>PROPOSTA2022!D65</f>
        <v>1</v>
      </c>
      <c r="I65" s="143">
        <f>C65</f>
        <v>909.13</v>
      </c>
      <c r="J65" s="65">
        <f>I65/$H$18</f>
        <v>1.4772396883516005E-3</v>
      </c>
      <c r="K65" s="64"/>
      <c r="L65" s="64"/>
      <c r="M65" s="66">
        <f t="shared" si="18"/>
        <v>909.13</v>
      </c>
      <c r="N65" s="66">
        <f t="shared" si="19"/>
        <v>1.4772396883516005E-3</v>
      </c>
      <c r="O65" s="64"/>
    </row>
    <row r="66" spans="1:19">
      <c r="A66" s="11" t="s">
        <v>129</v>
      </c>
      <c r="C66" s="140">
        <f>ROUND(PROPOSTA2026!C66*(1+'Estimacio increment IPC'!$G$12),2)</f>
        <v>134.9</v>
      </c>
      <c r="D66" s="96">
        <f>D21+D25</f>
        <v>17</v>
      </c>
      <c r="E66" s="11">
        <v>2</v>
      </c>
      <c r="I66" s="143">
        <f>C66*D66*E66</f>
        <v>4586.6000000000004</v>
      </c>
      <c r="J66" s="65">
        <f>I66/$H$18</f>
        <v>7.4527378423255774E-3</v>
      </c>
      <c r="K66" s="64"/>
      <c r="L66" s="64"/>
      <c r="M66" s="66">
        <f t="shared" si="18"/>
        <v>4586.6000000000004</v>
      </c>
      <c r="N66" s="66">
        <f t="shared" si="19"/>
        <v>7.4527378423255774E-3</v>
      </c>
      <c r="O66" s="64"/>
      <c r="Q66" s="11" t="s">
        <v>132</v>
      </c>
      <c r="R66" s="11" t="s">
        <v>133</v>
      </c>
      <c r="S66" s="11" t="s">
        <v>134</v>
      </c>
    </row>
    <row r="67" spans="1:19">
      <c r="A67" s="11" t="s">
        <v>130</v>
      </c>
      <c r="C67" s="140">
        <f>ROUND(PROPOSTA2026!C67*(1+'Estimacio increment IPC'!$G$12),2)</f>
        <v>56.31</v>
      </c>
      <c r="D67" s="96">
        <f>D39+D40+D41</f>
        <v>6</v>
      </c>
      <c r="E67" s="11">
        <v>2</v>
      </c>
      <c r="I67" s="143">
        <f>C67*D67*E67</f>
        <v>675.72</v>
      </c>
      <c r="J67" s="65">
        <f>I67/$H$18</f>
        <v>1.0979732295853658E-3</v>
      </c>
      <c r="K67" s="64"/>
      <c r="L67" s="64"/>
      <c r="M67" s="66">
        <f t="shared" si="18"/>
        <v>675.72</v>
      </c>
      <c r="N67" s="66">
        <f t="shared" si="19"/>
        <v>1.0979732295853658E-3</v>
      </c>
      <c r="O67" s="64"/>
      <c r="Q67" s="11" t="s">
        <v>132</v>
      </c>
      <c r="R67" s="11" t="s">
        <v>133</v>
      </c>
      <c r="S67" s="11" t="s">
        <v>134</v>
      </c>
    </row>
    <row r="68" spans="1:19">
      <c r="A68" s="11" t="s">
        <v>98</v>
      </c>
      <c r="C68" s="140"/>
      <c r="I68" s="143"/>
      <c r="J68" s="64"/>
      <c r="K68" s="64"/>
      <c r="L68" s="64"/>
      <c r="M68" s="66"/>
      <c r="N68" s="66"/>
      <c r="O68" s="64"/>
    </row>
    <row r="69" spans="1:19">
      <c r="A69" s="67" t="s">
        <v>99</v>
      </c>
      <c r="C69" s="140">
        <f>ROUND(PROPOSTA2026!C69*(1+'Estimacio increment IPC'!$G$12),2)</f>
        <v>1231.73</v>
      </c>
      <c r="D69" s="11">
        <f>PROPOSTA2022!D69</f>
        <v>10</v>
      </c>
      <c r="E69" s="11">
        <v>12</v>
      </c>
      <c r="I69" s="143">
        <f>C69*D69*12</f>
        <v>147807.59999999998</v>
      </c>
      <c r="J69" s="65">
        <f t="shared" ref="J69:J72" si="20">I69/$H$18</f>
        <v>0.24017165087501019</v>
      </c>
      <c r="K69" s="64"/>
      <c r="L69" s="64"/>
      <c r="M69" s="66">
        <f t="shared" si="18"/>
        <v>147807.59999999998</v>
      </c>
      <c r="N69" s="66">
        <f t="shared" si="19"/>
        <v>0.24017165087501019</v>
      </c>
      <c r="O69" s="64"/>
    </row>
    <row r="70" spans="1:19">
      <c r="A70" s="67" t="s">
        <v>105</v>
      </c>
      <c r="C70" s="140">
        <f>ROUND(PROPOSTA2026!C70*(1+'Estimacio increment IPC'!$G$12),2)</f>
        <v>1341.99</v>
      </c>
      <c r="D70" s="11">
        <f>PROPOSTA2022!D70</f>
        <v>10</v>
      </c>
      <c r="I70" s="143">
        <f t="shared" ref="I70" si="21">C70*D70</f>
        <v>13419.9</v>
      </c>
      <c r="J70" s="65">
        <f t="shared" si="20"/>
        <v>2.1805912128859069E-2</v>
      </c>
      <c r="K70" s="64"/>
      <c r="L70" s="64"/>
      <c r="M70" s="66">
        <f t="shared" si="18"/>
        <v>13419.9</v>
      </c>
      <c r="N70" s="66">
        <f t="shared" si="19"/>
        <v>2.1805912128859069E-2</v>
      </c>
      <c r="O70" s="64"/>
    </row>
    <row r="71" spans="1:19">
      <c r="A71" s="67" t="s">
        <v>95</v>
      </c>
      <c r="C71" s="140">
        <f>ROUND(PROPOSTA2026!C71*(1+'Estimacio increment IPC'!$G$12),2)</f>
        <v>123.17</v>
      </c>
      <c r="D71" s="11">
        <f>PROPOSTA2022!D71</f>
        <v>10</v>
      </c>
      <c r="E71" s="11">
        <f>365/5</f>
        <v>73</v>
      </c>
      <c r="F71" s="11">
        <f>((20*2)+15)*7*2</f>
        <v>770</v>
      </c>
      <c r="G71" s="11">
        <f>F71*D71*52</f>
        <v>400400</v>
      </c>
      <c r="H71" s="423">
        <f>G71*10.31101745/100*2.1*(1+'Estimacio increment IPC'!G8)*(1+'Estimacio increment IPC'!G11)*'Estimacions apats i usuaris'!M28*'Estimacions apats i usuaris'!L28*'Estimacions apats i usuaris'!K28*'Estimacions apats i usuaris'!J28*'Estimacions apats i usuaris'!I28</f>
        <v>80752.303500906375</v>
      </c>
      <c r="I71" s="143">
        <f>C71*D71*E71</f>
        <v>89914.1</v>
      </c>
      <c r="J71" s="65">
        <f t="shared" si="20"/>
        <v>0.14610086243157158</v>
      </c>
      <c r="K71" s="64"/>
      <c r="L71" s="64"/>
      <c r="M71" s="66">
        <f t="shared" si="18"/>
        <v>89914.1</v>
      </c>
      <c r="N71" s="66">
        <f t="shared" si="19"/>
        <v>0.14610086243157158</v>
      </c>
      <c r="O71" s="64"/>
    </row>
    <row r="72" spans="1:19">
      <c r="A72" s="67" t="s">
        <v>154</v>
      </c>
      <c r="C72" s="141">
        <f>PROPOSTA2026!C72</f>
        <v>0.19</v>
      </c>
      <c r="D72" s="11">
        <f>PROPOSTA2022!D72</f>
        <v>52</v>
      </c>
      <c r="F72" s="11">
        <f>((20*2)+15)*5</f>
        <v>275</v>
      </c>
      <c r="I72" s="143">
        <f>C72*D72*F72</f>
        <v>2717</v>
      </c>
      <c r="J72" s="65">
        <f t="shared" si="20"/>
        <v>4.4148364186104285E-3</v>
      </c>
      <c r="K72" s="64"/>
      <c r="L72" s="64"/>
      <c r="M72" s="66">
        <f t="shared" si="18"/>
        <v>2717</v>
      </c>
      <c r="N72" s="66">
        <f t="shared" si="19"/>
        <v>4.4148364186104285E-3</v>
      </c>
      <c r="O72" s="64"/>
      <c r="Q72" s="11" t="s">
        <v>109</v>
      </c>
    </row>
    <row r="73" spans="1:19">
      <c r="A73" s="94" t="s">
        <v>96</v>
      </c>
      <c r="B73" s="95"/>
      <c r="C73" s="141">
        <f>PROPOSTA2026!C73</f>
        <v>12.25</v>
      </c>
      <c r="D73" s="11">
        <f>PROPOSTA2022!D73</f>
        <v>125</v>
      </c>
      <c r="I73" s="143">
        <f>C73*D73</f>
        <v>1531.25</v>
      </c>
      <c r="J73" s="65">
        <f>I73/$H$18</f>
        <v>2.4881186109669559E-3</v>
      </c>
      <c r="K73" s="66"/>
      <c r="L73" s="66"/>
      <c r="M73" s="66">
        <f>I73</f>
        <v>1531.25</v>
      </c>
      <c r="N73" s="66">
        <f>M73/$H$18</f>
        <v>2.4881186109669559E-3</v>
      </c>
      <c r="O73" s="66"/>
      <c r="Q73" s="11" t="s">
        <v>108</v>
      </c>
    </row>
    <row r="74" spans="1:19">
      <c r="A74" s="11" t="s">
        <v>139</v>
      </c>
      <c r="C74" s="436">
        <f>ROUND(PROPOSTA2026!C74*(1+'Estimacio increment IPC'!G11),2)</f>
        <v>0.1</v>
      </c>
      <c r="D74" s="115">
        <f>(G18*12)+G18</f>
        <v>18928</v>
      </c>
      <c r="I74" s="143">
        <f>D74*C74</f>
        <v>1892.8000000000002</v>
      </c>
      <c r="J74" s="65">
        <f>I74/$H$18</f>
        <v>3.0755989595678394E-3</v>
      </c>
      <c r="K74" s="64"/>
      <c r="L74" s="64"/>
      <c r="M74" s="66">
        <f t="shared" si="18"/>
        <v>1892.8000000000002</v>
      </c>
      <c r="N74" s="66">
        <f t="shared" si="19"/>
        <v>3.0755989595678394E-3</v>
      </c>
      <c r="O74" s="64"/>
      <c r="Q74" s="11" t="s">
        <v>138</v>
      </c>
    </row>
    <row r="75" spans="1:19">
      <c r="A75" s="11" t="s">
        <v>140</v>
      </c>
      <c r="C75" s="140">
        <f>PROPOSTA2026!C75</f>
        <v>0.02</v>
      </c>
      <c r="D75" s="116">
        <f>H18</f>
        <v>615424.84078157006</v>
      </c>
      <c r="I75" s="143">
        <f>C75*D75</f>
        <v>12308.496815631401</v>
      </c>
      <c r="J75" s="65">
        <f>I75/$H$18</f>
        <v>0.02</v>
      </c>
      <c r="K75" s="64"/>
      <c r="L75" s="64"/>
      <c r="M75" s="66">
        <f t="shared" si="18"/>
        <v>12308.496815631401</v>
      </c>
      <c r="N75" s="66">
        <f t="shared" si="19"/>
        <v>0.02</v>
      </c>
      <c r="O75" s="64"/>
    </row>
    <row r="76" spans="1:19">
      <c r="A76" s="11" t="s">
        <v>106</v>
      </c>
      <c r="C76" s="140">
        <f>ROUND(PROPOSTA2026!C76*(1+'Estimacio increment IPC'!$G$12),2)</f>
        <v>0.93</v>
      </c>
      <c r="D76" s="11">
        <f>50*E76</f>
        <v>600</v>
      </c>
      <c r="E76" s="11">
        <v>12</v>
      </c>
      <c r="I76" s="143">
        <f>C76*D76*E76</f>
        <v>6696</v>
      </c>
      <c r="J76" s="65">
        <f>I76/$H$18</f>
        <v>1.0880288796104318E-2</v>
      </c>
      <c r="K76" s="64"/>
      <c r="L76" s="64"/>
      <c r="M76" s="66">
        <f t="shared" si="18"/>
        <v>6696</v>
      </c>
      <c r="N76" s="66">
        <f t="shared" si="19"/>
        <v>1.0880288796104318E-2</v>
      </c>
      <c r="O76" s="64"/>
      <c r="Q76" s="11" t="s">
        <v>107</v>
      </c>
    </row>
    <row r="77" spans="1:19">
      <c r="A77" s="11" t="s">
        <v>142</v>
      </c>
      <c r="C77" s="140">
        <f>PROPOSTA2026!C77</f>
        <v>375</v>
      </c>
      <c r="D77" s="96">
        <f>PROPOSTA2022!D77</f>
        <v>1</v>
      </c>
      <c r="E77" s="21"/>
      <c r="F77" s="21"/>
      <c r="I77" s="143">
        <f>C77*D77</f>
        <v>375</v>
      </c>
      <c r="J77" s="65">
        <f t="shared" ref="J77:J85" si="22">I77/$H$18</f>
        <v>6.0933517003272381E-4</v>
      </c>
      <c r="K77" s="64"/>
      <c r="L77" s="64"/>
      <c r="M77" s="66">
        <f t="shared" si="18"/>
        <v>375</v>
      </c>
      <c r="N77" s="66">
        <f t="shared" si="19"/>
        <v>6.0933517003272381E-4</v>
      </c>
      <c r="O77" s="64"/>
    </row>
    <row r="78" spans="1:19">
      <c r="A78" s="11" t="s">
        <v>141</v>
      </c>
      <c r="C78" s="140">
        <f>ROUND(PROPOSTA2026!C78*(1+'Estimacio increment IPC'!$G$12),2)</f>
        <v>5513.4</v>
      </c>
      <c r="D78" s="96">
        <v>1</v>
      </c>
      <c r="I78" s="143">
        <f>C78</f>
        <v>5513.4</v>
      </c>
      <c r="J78" s="65">
        <f t="shared" si="22"/>
        <v>8.9586894038891189E-3</v>
      </c>
      <c r="K78" s="64"/>
      <c r="L78" s="64"/>
      <c r="M78" s="66">
        <f t="shared" si="18"/>
        <v>5513.4</v>
      </c>
      <c r="N78" s="66">
        <f t="shared" si="19"/>
        <v>8.9586894038891189E-3</v>
      </c>
      <c r="O78" s="64"/>
    </row>
    <row r="79" spans="1:19">
      <c r="A79" s="11" t="s">
        <v>97</v>
      </c>
      <c r="C79" s="140">
        <f>ROUND(PROPOSTA2026!C79*(1+'Estimacio increment IPC'!$G$12),2)</f>
        <v>1177.58</v>
      </c>
      <c r="D79" s="96"/>
      <c r="E79" s="11">
        <f>PROPOSTA2022!E79</f>
        <v>12</v>
      </c>
      <c r="I79" s="143">
        <f>C79*E79</f>
        <v>14130.96</v>
      </c>
      <c r="J79" s="65">
        <f t="shared" si="22"/>
        <v>2.2961309104868318E-2</v>
      </c>
      <c r="K79" s="64"/>
      <c r="L79" s="64"/>
      <c r="M79" s="66">
        <f t="shared" si="18"/>
        <v>14130.96</v>
      </c>
      <c r="N79" s="66">
        <f t="shared" si="19"/>
        <v>2.2961309104868318E-2</v>
      </c>
      <c r="O79" s="64"/>
    </row>
    <row r="80" spans="1:19">
      <c r="A80" s="11" t="s">
        <v>229</v>
      </c>
      <c r="C80" s="140">
        <f>ROUND(PROPOSTA2026!C80*(1+'Estimacio increment IPC'!$G$12),2)</f>
        <v>33.07</v>
      </c>
      <c r="D80" s="116">
        <f>G18</f>
        <v>1456</v>
      </c>
      <c r="I80" s="142">
        <f>C80*D80</f>
        <v>48149.919999999998</v>
      </c>
      <c r="J80" s="65">
        <f t="shared" si="22"/>
        <v>7.8238505840698802E-2</v>
      </c>
      <c r="K80" s="64"/>
      <c r="L80" s="64"/>
      <c r="M80" s="66">
        <f t="shared" si="18"/>
        <v>48149.919999999998</v>
      </c>
      <c r="N80" s="66">
        <f t="shared" si="19"/>
        <v>7.8238505840698802E-2</v>
      </c>
      <c r="O80" s="64"/>
      <c r="Q80" s="11" t="s">
        <v>110</v>
      </c>
    </row>
    <row r="81" spans="1:22">
      <c r="A81" s="11" t="s">
        <v>101</v>
      </c>
      <c r="C81" s="140">
        <f>PROPOSTA2026!C81</f>
        <v>50</v>
      </c>
      <c r="D81" s="11">
        <f>D21+D25</f>
        <v>17</v>
      </c>
      <c r="I81" s="143">
        <f>C81*D81</f>
        <v>850</v>
      </c>
      <c r="J81" s="65">
        <f t="shared" si="22"/>
        <v>1.3811597187408408E-3</v>
      </c>
      <c r="K81" s="64"/>
      <c r="L81" s="64"/>
      <c r="M81" s="66">
        <f>I81</f>
        <v>850</v>
      </c>
      <c r="N81" s="66">
        <f t="shared" si="19"/>
        <v>1.3811597187408408E-3</v>
      </c>
      <c r="O81" s="64"/>
    </row>
    <row r="82" spans="1:22">
      <c r="A82" s="11" t="s">
        <v>102</v>
      </c>
      <c r="C82" s="140">
        <f>ROUND(PROPOSTA2026!C82*(1+'Estimacio increment IPC'!$G$12),2)</f>
        <v>19.09</v>
      </c>
      <c r="D82" s="11">
        <f>D81</f>
        <v>17</v>
      </c>
      <c r="E82" s="11">
        <v>12</v>
      </c>
      <c r="I82" s="143">
        <f>C82*E82*D82</f>
        <v>3894.3599999999997</v>
      </c>
      <c r="J82" s="65">
        <f t="shared" si="22"/>
        <v>6.3279213673830357E-3</v>
      </c>
      <c r="K82" s="64"/>
      <c r="L82" s="64"/>
      <c r="M82" s="66">
        <f t="shared" si="18"/>
        <v>3894.3599999999997</v>
      </c>
      <c r="N82" s="66">
        <f t="shared" si="19"/>
        <v>6.3279213673830357E-3</v>
      </c>
      <c r="O82" s="64"/>
      <c r="Q82" s="11" t="s">
        <v>169</v>
      </c>
    </row>
    <row r="83" spans="1:22">
      <c r="A83" s="11" t="s">
        <v>258</v>
      </c>
      <c r="C83" s="21"/>
      <c r="I83" s="245">
        <f>ROUND(PROPOSTA2026!I83*(1+'Estimacio increment IPC'!G12),2)</f>
        <v>5082.71</v>
      </c>
      <c r="J83" s="65">
        <f t="shared" si="22"/>
        <v>8.2588638988720688E-3</v>
      </c>
      <c r="K83" s="64"/>
      <c r="L83" s="64"/>
      <c r="M83" s="66"/>
      <c r="N83" s="66"/>
      <c r="O83" s="64"/>
    </row>
    <row r="84" spans="1:22">
      <c r="A84" s="11" t="s">
        <v>259</v>
      </c>
      <c r="C84" s="21"/>
      <c r="I84" s="245">
        <v>20000</v>
      </c>
      <c r="J84" s="65">
        <f t="shared" si="22"/>
        <v>3.2497875735078605E-2</v>
      </c>
      <c r="K84" s="64"/>
      <c r="L84" s="64"/>
      <c r="M84" s="66">
        <f t="shared" si="18"/>
        <v>20000</v>
      </c>
      <c r="N84" s="66">
        <f t="shared" si="19"/>
        <v>3.2497875735078605E-2</v>
      </c>
      <c r="O84" s="64"/>
    </row>
    <row r="85" spans="1:22">
      <c r="A85" s="11" t="s">
        <v>260</v>
      </c>
      <c r="C85" s="21"/>
      <c r="I85" s="140">
        <f>ROUND(PROPOSTA2026!I85*(1+'Estimacio increment IPC'!G12),2)</f>
        <v>4328.62</v>
      </c>
      <c r="J85" s="65">
        <f t="shared" si="22"/>
        <v>7.0335477432187975E-3</v>
      </c>
      <c r="K85" s="64"/>
      <c r="L85" s="64"/>
      <c r="M85" s="66"/>
      <c r="N85" s="66"/>
      <c r="O85" s="64"/>
    </row>
    <row r="86" spans="1:22" ht="15" thickBot="1">
      <c r="T86" s="168"/>
      <c r="V86" s="168"/>
    </row>
    <row r="87" spans="1:22" ht="15" thickBot="1">
      <c r="A87" s="405" t="s">
        <v>94</v>
      </c>
      <c r="B87" s="406"/>
      <c r="C87" s="406"/>
      <c r="D87" s="406"/>
      <c r="E87" s="406"/>
      <c r="F87" s="406"/>
      <c r="G87" s="406"/>
      <c r="H87" s="406"/>
      <c r="I87" s="407">
        <f>SUM(I64:I85)</f>
        <v>386308.20681563136</v>
      </c>
      <c r="J87" s="407">
        <f>I87/$H$18</f>
        <v>0.62770980502677165</v>
      </c>
      <c r="K87" s="402"/>
      <c r="L87" s="363">
        <f>J87/$J$100</f>
        <v>7.9474890535569331E-2</v>
      </c>
      <c r="M87" s="407">
        <f>SUM(M64:M84)</f>
        <v>376896.87681563135</v>
      </c>
      <c r="N87" s="407">
        <f>M87/$H$18</f>
        <v>0.61241739338468082</v>
      </c>
      <c r="O87" s="402"/>
    </row>
    <row r="88" spans="1:22" ht="15" thickBot="1">
      <c r="I88" s="21"/>
    </row>
    <row r="89" spans="1:22" ht="15" thickBot="1">
      <c r="A89" s="405" t="s">
        <v>83</v>
      </c>
      <c r="B89" s="406"/>
      <c r="C89" s="406"/>
      <c r="D89" s="406"/>
      <c r="E89" s="406"/>
      <c r="F89" s="406"/>
      <c r="G89" s="406"/>
      <c r="H89" s="406"/>
      <c r="I89" s="407">
        <f>I60+I87</f>
        <v>3378886.2624470536</v>
      </c>
      <c r="J89" s="407">
        <f>I89/$H$18</f>
        <v>5.4903312939984268</v>
      </c>
      <c r="K89" s="402"/>
      <c r="L89" s="363">
        <f>J89/$J$100</f>
        <v>0.69513567431996026</v>
      </c>
      <c r="M89" s="407">
        <f>M60+M87</f>
        <v>3369474.9324470535</v>
      </c>
      <c r="N89" s="407">
        <f>M89/$H$18</f>
        <v>5.4750388823563361</v>
      </c>
      <c r="O89" s="402"/>
    </row>
    <row r="90" spans="1:22" ht="15" thickBot="1">
      <c r="I90" s="21"/>
    </row>
    <row r="91" spans="1:22" ht="15" thickBot="1">
      <c r="A91" s="408" t="s">
        <v>84</v>
      </c>
      <c r="B91" s="409"/>
      <c r="C91" s="409"/>
      <c r="D91" s="409"/>
      <c r="E91" s="409"/>
      <c r="F91" s="409"/>
      <c r="G91" s="409"/>
      <c r="H91" s="409"/>
      <c r="I91" s="438">
        <f>I50+I89</f>
        <v>4572679.1724470537</v>
      </c>
      <c r="J91" s="410">
        <f>I91/$H$18</f>
        <v>7.4301179761283214</v>
      </c>
      <c r="K91" s="411"/>
      <c r="L91" s="363">
        <f>J91/$J$100</f>
        <v>0.94073377234242705</v>
      </c>
      <c r="M91" s="410">
        <f>M50+M89</f>
        <v>4563267.8424470536</v>
      </c>
      <c r="N91" s="410">
        <f>M91/$H$18</f>
        <v>7.4148255644862306</v>
      </c>
      <c r="O91" s="411"/>
    </row>
    <row r="93" spans="1:22">
      <c r="A93" s="349" t="s">
        <v>157</v>
      </c>
    </row>
    <row r="94" spans="1:22" ht="87">
      <c r="A94" s="412" t="s">
        <v>222</v>
      </c>
      <c r="B94" s="268">
        <f>PROPOSTA2026!B94</f>
        <v>2.5000000000000001E-2</v>
      </c>
      <c r="I94" s="66">
        <f>I91*B94</f>
        <v>114316.97931117634</v>
      </c>
      <c r="J94" s="65">
        <f>I94/$H$18</f>
        <v>0.18575294940320802</v>
      </c>
      <c r="K94" s="66"/>
      <c r="L94" s="363">
        <f>J94/$J$100</f>
        <v>2.3518344308560674E-2</v>
      </c>
      <c r="M94" s="66">
        <f>I94</f>
        <v>114316.97931117634</v>
      </c>
      <c r="N94" s="66">
        <f t="shared" ref="N94:N104" si="23">M94/$H$18</f>
        <v>0.18575294940320802</v>
      </c>
      <c r="O94" s="66"/>
    </row>
    <row r="96" spans="1:22">
      <c r="A96" s="96" t="s">
        <v>223</v>
      </c>
      <c r="B96" s="268">
        <f>PROPOSTA2026!B96</f>
        <v>3.7999999999999999E-2</v>
      </c>
      <c r="C96" s="96"/>
      <c r="D96" s="96"/>
      <c r="E96" s="96"/>
      <c r="F96" s="96"/>
      <c r="G96" s="96"/>
      <c r="H96" s="96" t="s">
        <v>172</v>
      </c>
      <c r="I96" s="167">
        <f>I91*B96</f>
        <v>173761.80855298805</v>
      </c>
      <c r="J96" s="396">
        <f>I96/$H$18</f>
        <v>0.28234448309287624</v>
      </c>
      <c r="K96" s="66"/>
      <c r="L96" s="363">
        <f>J96/$J$100</f>
        <v>3.574788334901223E-2</v>
      </c>
      <c r="M96" s="66">
        <f>I96</f>
        <v>173761.80855298805</v>
      </c>
      <c r="N96" s="66">
        <f t="shared" si="23"/>
        <v>0.28234448309287624</v>
      </c>
      <c r="O96" s="66"/>
    </row>
    <row r="97" spans="1:15" ht="15" thickBot="1">
      <c r="N97" s="66"/>
    </row>
    <row r="98" spans="1:15" ht="15" thickBot="1">
      <c r="A98" s="413" t="s">
        <v>85</v>
      </c>
      <c r="B98" s="414"/>
      <c r="C98" s="414"/>
      <c r="D98" s="414"/>
      <c r="E98" s="414"/>
      <c r="F98" s="414"/>
      <c r="G98" s="414"/>
      <c r="H98" s="414"/>
      <c r="I98" s="415">
        <f>I94+I96</f>
        <v>288078.78786416439</v>
      </c>
      <c r="J98" s="415">
        <f>I98/$H$18</f>
        <v>0.46809743249608426</v>
      </c>
      <c r="K98" s="65"/>
      <c r="L98" s="363">
        <f>J98/$J$100</f>
        <v>5.9266227657572911E-2</v>
      </c>
      <c r="M98" s="415">
        <f>M94+M96</f>
        <v>288078.78786416439</v>
      </c>
      <c r="N98" s="66">
        <f t="shared" si="23"/>
        <v>0.46809743249608426</v>
      </c>
      <c r="O98" s="65"/>
    </row>
    <row r="99" spans="1:15" ht="15" thickBot="1">
      <c r="I99" s="66"/>
      <c r="N99" s="66"/>
    </row>
    <row r="100" spans="1:15" ht="15" thickBot="1">
      <c r="A100" s="413" t="s">
        <v>86</v>
      </c>
      <c r="B100" s="414"/>
      <c r="C100" s="414"/>
      <c r="D100" s="414"/>
      <c r="E100" s="414"/>
      <c r="F100" s="414"/>
      <c r="G100" s="414"/>
      <c r="H100" s="414"/>
      <c r="I100" s="415">
        <f>I91+I98</f>
        <v>4860757.9603112182</v>
      </c>
      <c r="J100" s="416">
        <f>I100/$H$18</f>
        <v>7.8982154086244059</v>
      </c>
      <c r="K100" s="65"/>
      <c r="L100" s="363">
        <f>J100/$J$100</f>
        <v>1</v>
      </c>
      <c r="M100" s="415">
        <f>M91+M98</f>
        <v>4851346.6303112181</v>
      </c>
      <c r="N100" s="66">
        <f t="shared" si="23"/>
        <v>7.8829229969823142</v>
      </c>
      <c r="O100" s="65"/>
    </row>
    <row r="101" spans="1:15">
      <c r="H101" s="66"/>
      <c r="I101" s="66"/>
      <c r="N101" s="66"/>
    </row>
    <row r="102" spans="1:15">
      <c r="A102" s="403" t="s">
        <v>87</v>
      </c>
      <c r="B102" s="418">
        <v>0.1</v>
      </c>
      <c r="C102" s="403"/>
      <c r="D102" s="403"/>
      <c r="E102" s="403"/>
      <c r="F102" s="403"/>
      <c r="G102" s="403"/>
      <c r="H102" s="403"/>
      <c r="I102" s="65">
        <f>I100*B102</f>
        <v>486075.79603112186</v>
      </c>
      <c r="J102" s="65">
        <f>I102/$H$18</f>
        <v>0.78982154086244061</v>
      </c>
      <c r="K102" s="65"/>
      <c r="L102" s="65"/>
      <c r="M102" s="65">
        <f>M100*B102</f>
        <v>485134.66303112183</v>
      </c>
      <c r="N102" s="66">
        <f t="shared" si="23"/>
        <v>0.78829229969823145</v>
      </c>
      <c r="O102" s="65"/>
    </row>
    <row r="103" spans="1:15" ht="15" thickBot="1">
      <c r="I103" s="66"/>
      <c r="N103" s="66"/>
    </row>
    <row r="104" spans="1:15" ht="15" thickBot="1">
      <c r="A104" s="413" t="s">
        <v>88</v>
      </c>
      <c r="B104" s="414"/>
      <c r="C104" s="414"/>
      <c r="D104" s="414"/>
      <c r="E104" s="414"/>
      <c r="F104" s="414"/>
      <c r="G104" s="414"/>
      <c r="H104" s="414"/>
      <c r="I104" s="415">
        <f>I100+I102</f>
        <v>5346833.7563423403</v>
      </c>
      <c r="J104" s="415">
        <f>I104/$H$18</f>
        <v>8.6880369494868468</v>
      </c>
      <c r="K104" s="65"/>
      <c r="L104" s="363">
        <f>J104/$J$100</f>
        <v>1.1000000000000001</v>
      </c>
      <c r="M104" s="415">
        <f>M100+M102</f>
        <v>5336481.2933423398</v>
      </c>
      <c r="N104" s="66">
        <f t="shared" si="23"/>
        <v>8.6712152966805451</v>
      </c>
      <c r="O104" s="65"/>
    </row>
  </sheetData>
  <mergeCells count="12">
    <mergeCell ref="B9:C9"/>
    <mergeCell ref="D9:E9"/>
    <mergeCell ref="B5:E5"/>
    <mergeCell ref="I5:L5"/>
    <mergeCell ref="D6:E6"/>
    <mergeCell ref="D7:E7"/>
    <mergeCell ref="D8:E8"/>
    <mergeCell ref="C10:E10"/>
    <mergeCell ref="I10:N10"/>
    <mergeCell ref="C11:E11"/>
    <mergeCell ref="C12:E12"/>
    <mergeCell ref="C13:E13"/>
  </mergeCells>
  <pageMargins left="0.7" right="0.7" top="0.75" bottom="0.75" header="0.3" footer="0.3"/>
  <pageSetup paperSize="8" fitToHeight="0" orientation="landscape" r:id="rId1"/>
  <customProperties>
    <customPr name="EpmWorksheetKeyString_GUID" r:id="rId2"/>
  </customProperties>
  <drawing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61"/>
  <sheetViews>
    <sheetView tabSelected="1" topLeftCell="A23" zoomScale="80" zoomScaleNormal="80" workbookViewId="0">
      <selection activeCell="H26" sqref="H26"/>
    </sheetView>
  </sheetViews>
  <sheetFormatPr defaultRowHeight="14.5" outlineLevelRow="1"/>
  <cols>
    <col min="3" max="3" width="40" customWidth="1"/>
    <col min="4" max="4" width="37.54296875" customWidth="1"/>
    <col min="5" max="5" width="18" customWidth="1"/>
    <col min="6" max="6" width="12.453125" bestFit="1" customWidth="1"/>
    <col min="7" max="7" width="15.26953125" customWidth="1"/>
    <col min="8" max="8" width="30.54296875" customWidth="1"/>
    <col min="9" max="9" width="26.81640625" customWidth="1"/>
    <col min="10" max="10" width="16" customWidth="1"/>
    <col min="11" max="11" width="11.54296875" bestFit="1" customWidth="1"/>
    <col min="12" max="12" width="0" hidden="1" customWidth="1"/>
    <col min="13" max="13" width="19.453125" customWidth="1"/>
    <col min="15" max="15" width="14.1796875" bestFit="1" customWidth="1"/>
    <col min="16" max="16" width="9.1796875" customWidth="1"/>
  </cols>
  <sheetData>
    <row r="1" spans="3:10" hidden="1" outlineLevel="1">
      <c r="C1" s="172"/>
      <c r="D1" s="173"/>
      <c r="E1" s="173"/>
      <c r="F1" s="173"/>
      <c r="G1" s="173"/>
      <c r="H1" s="173"/>
      <c r="I1" s="173"/>
      <c r="J1" s="174"/>
    </row>
    <row r="2" spans="3:10" ht="26" hidden="1" outlineLevel="1">
      <c r="C2" s="175" t="s">
        <v>257</v>
      </c>
      <c r="D2" s="176"/>
      <c r="E2" s="176"/>
      <c r="F2" s="176"/>
      <c r="G2" s="177"/>
      <c r="H2" s="176"/>
      <c r="I2" s="176"/>
      <c r="J2" s="174"/>
    </row>
    <row r="3" spans="3:10" hidden="1" outlineLevel="1">
      <c r="C3" s="178"/>
      <c r="D3" s="176"/>
      <c r="E3" s="176"/>
      <c r="F3" s="176"/>
      <c r="G3" s="177"/>
      <c r="H3" s="176"/>
      <c r="I3" s="176"/>
      <c r="J3" s="174"/>
    </row>
    <row r="4" spans="3:10" hidden="1" outlineLevel="1">
      <c r="C4" s="179" t="s">
        <v>238</v>
      </c>
      <c r="D4" s="180" t="s">
        <v>239</v>
      </c>
      <c r="E4" s="181" t="s">
        <v>240</v>
      </c>
      <c r="F4" s="181" t="s">
        <v>241</v>
      </c>
      <c r="G4" s="182" t="s">
        <v>242</v>
      </c>
      <c r="H4" s="181" t="s">
        <v>243</v>
      </c>
      <c r="I4" s="181" t="s">
        <v>244</v>
      </c>
      <c r="J4" s="174"/>
    </row>
    <row r="5" spans="3:10" hidden="1" outlineLevel="1">
      <c r="C5" s="183" t="s">
        <v>254</v>
      </c>
      <c r="D5" s="187" t="s">
        <v>245</v>
      </c>
      <c r="E5" s="213" t="e">
        <f>#REF!</f>
        <v>#REF!</v>
      </c>
      <c r="F5" s="184" t="e">
        <f>#REF!</f>
        <v>#REF!</v>
      </c>
      <c r="G5" s="184" t="e">
        <f>E5*F5</f>
        <v>#REF!</v>
      </c>
      <c r="H5" s="188"/>
      <c r="I5" s="189"/>
      <c r="J5" s="174"/>
    </row>
    <row r="6" spans="3:10" hidden="1" outlineLevel="1">
      <c r="C6" s="183" t="s">
        <v>255</v>
      </c>
      <c r="D6" s="187" t="s">
        <v>245</v>
      </c>
      <c r="E6" s="213" t="e">
        <f>#REF!</f>
        <v>#REF!</v>
      </c>
      <c r="F6" s="184" t="e">
        <f>#REF!</f>
        <v>#REF!</v>
      </c>
      <c r="G6" s="184" t="e">
        <f>E6*F6</f>
        <v>#REF!</v>
      </c>
      <c r="H6" s="188"/>
      <c r="I6" s="189"/>
      <c r="J6" s="174"/>
    </row>
    <row r="7" spans="3:10" hidden="1" outlineLevel="1">
      <c r="C7" s="172"/>
      <c r="D7" s="176"/>
      <c r="E7" s="547" t="s">
        <v>246</v>
      </c>
      <c r="F7" s="548"/>
      <c r="G7" s="190" t="e">
        <f>G6+G5</f>
        <v>#REF!</v>
      </c>
      <c r="H7" s="191" t="s">
        <v>247</v>
      </c>
      <c r="I7" s="192"/>
      <c r="J7" s="174"/>
    </row>
    <row r="8" spans="3:10" hidden="1" outlineLevel="1">
      <c r="C8" s="172"/>
      <c r="D8" s="176"/>
      <c r="E8" s="193"/>
      <c r="F8" s="193"/>
      <c r="G8" s="177"/>
      <c r="H8" s="176"/>
      <c r="I8" s="194"/>
      <c r="J8" s="174"/>
    </row>
    <row r="9" spans="3:10" hidden="1" outlineLevel="1">
      <c r="C9" s="172"/>
      <c r="D9" s="176"/>
      <c r="E9" s="195" t="s">
        <v>248</v>
      </c>
      <c r="F9" s="196"/>
      <c r="G9" s="197" t="e">
        <f>G7</f>
        <v>#REF!</v>
      </c>
      <c r="H9" s="198" t="s">
        <v>249</v>
      </c>
      <c r="I9" s="189"/>
      <c r="J9" s="174"/>
    </row>
    <row r="10" spans="3:10" hidden="1" outlineLevel="1">
      <c r="C10" s="172"/>
      <c r="D10" s="176"/>
      <c r="E10" s="195" t="s">
        <v>250</v>
      </c>
      <c r="F10" s="199">
        <v>0.1</v>
      </c>
      <c r="G10" s="197" t="e">
        <f>G9*F10</f>
        <v>#REF!</v>
      </c>
      <c r="H10" s="200"/>
      <c r="I10" s="189"/>
      <c r="J10" s="174"/>
    </row>
    <row r="11" spans="3:10" hidden="1" outlineLevel="1">
      <c r="C11" s="172"/>
      <c r="D11" s="176"/>
      <c r="E11" s="201" t="s">
        <v>251</v>
      </c>
      <c r="F11" s="202"/>
      <c r="G11" s="203" t="e">
        <f>SUM(G9:G10)</f>
        <v>#REF!</v>
      </c>
      <c r="H11" s="204" t="s">
        <v>252</v>
      </c>
      <c r="I11" s="205"/>
      <c r="J11" s="174"/>
    </row>
    <row r="12" spans="3:10" hidden="1" outlineLevel="1">
      <c r="C12" s="172"/>
      <c r="D12" s="176"/>
      <c r="E12" s="206"/>
      <c r="F12" s="207"/>
      <c r="G12" s="208"/>
      <c r="H12" s="186"/>
      <c r="I12" s="185"/>
      <c r="J12" s="174"/>
    </row>
    <row r="13" spans="3:10" hidden="1" outlineLevel="1">
      <c r="C13" s="172"/>
      <c r="D13" s="173" t="s">
        <v>253</v>
      </c>
      <c r="E13" s="173"/>
      <c r="F13" s="173"/>
      <c r="G13" s="209"/>
      <c r="H13" s="173"/>
      <c r="I13" s="173"/>
      <c r="J13" s="174"/>
    </row>
    <row r="14" spans="3:10" hidden="1" outlineLevel="1">
      <c r="C14" s="172"/>
      <c r="D14" s="173"/>
      <c r="E14" s="173"/>
      <c r="F14" s="173"/>
      <c r="G14" s="173"/>
      <c r="H14" s="173"/>
      <c r="I14" s="173"/>
      <c r="J14" s="174"/>
    </row>
    <row r="15" spans="3:10" ht="15" hidden="1" customHeight="1" outlineLevel="1">
      <c r="C15" s="172"/>
      <c r="D15" s="549" t="s">
        <v>256</v>
      </c>
      <c r="E15" s="549"/>
      <c r="F15" s="549"/>
      <c r="G15" s="549"/>
      <c r="H15" s="549"/>
      <c r="I15" s="549"/>
      <c r="J15" s="174"/>
    </row>
    <row r="16" spans="3:10" hidden="1" outlineLevel="1">
      <c r="C16" s="165"/>
      <c r="D16" s="549"/>
      <c r="E16" s="549"/>
      <c r="F16" s="549"/>
      <c r="G16" s="549"/>
      <c r="H16" s="549"/>
      <c r="I16" s="549"/>
      <c r="J16" s="166"/>
    </row>
    <row r="17" spans="1:16" hidden="1" outlineLevel="1">
      <c r="C17" s="165"/>
      <c r="D17" s="549"/>
      <c r="E17" s="549"/>
      <c r="F17" s="549"/>
      <c r="G17" s="549"/>
      <c r="H17" s="549"/>
      <c r="I17" s="549"/>
      <c r="J17" s="166"/>
    </row>
    <row r="18" spans="1:16" ht="15" hidden="1" outlineLevel="1" thickBot="1">
      <c r="C18" s="210"/>
      <c r="D18" s="211"/>
      <c r="E18" s="211"/>
      <c r="F18" s="211"/>
      <c r="G18" s="211"/>
      <c r="H18" s="211"/>
      <c r="I18" s="211"/>
      <c r="J18" s="212"/>
    </row>
    <row r="19" spans="1:16" hidden="1" outlineLevel="1"/>
    <row r="20" spans="1:16" hidden="1" outlineLevel="1"/>
    <row r="21" spans="1:16" hidden="1" outlineLevel="1"/>
    <row r="22" spans="1:16" hidden="1" outlineLevel="1">
      <c r="C22" s="215"/>
      <c r="D22" s="215"/>
      <c r="E22" s="215"/>
      <c r="F22" s="215"/>
      <c r="G22" s="216"/>
      <c r="H22" s="215"/>
      <c r="I22" s="215"/>
    </row>
    <row r="23" spans="1:16" ht="26" collapsed="1">
      <c r="A23" s="98"/>
      <c r="B23" s="471"/>
      <c r="C23" s="472" t="s">
        <v>343</v>
      </c>
      <c r="D23" s="472" t="s">
        <v>353</v>
      </c>
      <c r="E23" s="473"/>
      <c r="F23" s="473"/>
      <c r="G23" s="474"/>
      <c r="H23" s="473"/>
      <c r="I23" s="473"/>
      <c r="J23" s="475"/>
      <c r="K23" s="98"/>
      <c r="L23" s="98"/>
    </row>
    <row r="24" spans="1:16" ht="15" thickBot="1">
      <c r="A24" s="98"/>
      <c r="B24" s="471"/>
      <c r="C24" s="473"/>
      <c r="D24" s="473"/>
      <c r="E24" s="473"/>
      <c r="F24" s="473"/>
      <c r="G24" s="474"/>
      <c r="H24" s="473"/>
      <c r="I24" s="473"/>
      <c r="J24" s="475"/>
      <c r="K24" s="98"/>
      <c r="L24" s="98"/>
    </row>
    <row r="25" spans="1:16" ht="15" thickBot="1">
      <c r="A25" s="98"/>
      <c r="B25" s="471"/>
      <c r="C25" s="490" t="s">
        <v>238</v>
      </c>
      <c r="D25" s="491" t="s">
        <v>239</v>
      </c>
      <c r="E25" s="492" t="s">
        <v>240</v>
      </c>
      <c r="F25" s="492" t="s">
        <v>241</v>
      </c>
      <c r="G25" s="493" t="s">
        <v>242</v>
      </c>
      <c r="H25" s="492" t="s">
        <v>243</v>
      </c>
      <c r="I25" s="494" t="s">
        <v>244</v>
      </c>
      <c r="J25" s="475"/>
      <c r="K25" s="98"/>
      <c r="L25" s="98"/>
    </row>
    <row r="26" spans="1:16" ht="36.5" thickBot="1">
      <c r="A26" s="98"/>
      <c r="B26" s="471"/>
      <c r="C26" s="441" t="s">
        <v>351</v>
      </c>
      <c r="D26" s="511" t="s">
        <v>337</v>
      </c>
      <c r="E26" s="442">
        <v>1</v>
      </c>
      <c r="F26" s="443">
        <v>3007033.18</v>
      </c>
      <c r="G26" s="443">
        <f>E26*F26</f>
        <v>3007033.18</v>
      </c>
      <c r="H26" s="500"/>
      <c r="I26" s="444">
        <f>H26</f>
        <v>0</v>
      </c>
      <c r="J26" s="475"/>
      <c r="K26" s="98"/>
      <c r="L26" s="98"/>
      <c r="M26" s="118"/>
    </row>
    <row r="27" spans="1:16" ht="15" thickBot="1">
      <c r="A27" s="98"/>
      <c r="B27" s="471"/>
      <c r="C27" s="445"/>
      <c r="D27" s="439"/>
      <c r="E27" s="545" t="s">
        <v>338</v>
      </c>
      <c r="F27" s="546"/>
      <c r="G27" s="446">
        <f>SUM(G26:G26)</f>
        <v>3007033.18</v>
      </c>
      <c r="H27" s="447" t="s">
        <v>339</v>
      </c>
      <c r="I27" s="448">
        <f>SUM(I26:I26)</f>
        <v>0</v>
      </c>
      <c r="J27" s="475"/>
      <c r="K27" s="98"/>
      <c r="L27" s="98"/>
      <c r="M27" s="118"/>
    </row>
    <row r="28" spans="1:16" ht="15" thickBot="1">
      <c r="A28" s="98"/>
      <c r="B28" s="471"/>
      <c r="C28" s="445"/>
      <c r="D28" s="439"/>
      <c r="E28" s="496"/>
      <c r="F28" s="502"/>
      <c r="G28" s="497"/>
      <c r="H28" s="498"/>
      <c r="I28" s="499"/>
      <c r="J28" s="475"/>
      <c r="K28" s="98"/>
      <c r="L28" s="98"/>
      <c r="M28" s="118"/>
    </row>
    <row r="29" spans="1:16" ht="21.5" thickBot="1">
      <c r="A29" s="98"/>
      <c r="B29" s="471"/>
      <c r="C29" s="476" t="s">
        <v>344</v>
      </c>
      <c r="D29" s="512" t="s">
        <v>245</v>
      </c>
      <c r="E29" s="507">
        <v>200</v>
      </c>
      <c r="F29" s="449">
        <v>46.2</v>
      </c>
      <c r="G29" s="443">
        <f>E29*F29</f>
        <v>9240</v>
      </c>
      <c r="H29" s="500"/>
      <c r="I29" s="444">
        <f>E29*H29</f>
        <v>0</v>
      </c>
      <c r="J29" s="475"/>
      <c r="K29" s="98"/>
      <c r="L29" s="98"/>
      <c r="M29" s="118"/>
    </row>
    <row r="30" spans="1:16" ht="15" thickBot="1">
      <c r="A30" s="98"/>
      <c r="B30" s="471"/>
      <c r="C30" s="476" t="s">
        <v>345</v>
      </c>
      <c r="D30" s="512" t="s">
        <v>245</v>
      </c>
      <c r="E30" s="507">
        <v>80</v>
      </c>
      <c r="F30" s="449">
        <v>29.7</v>
      </c>
      <c r="G30" s="443">
        <f>E30*F30</f>
        <v>2376</v>
      </c>
      <c r="H30" s="500"/>
      <c r="I30" s="444">
        <f>E30*H30</f>
        <v>0</v>
      </c>
      <c r="J30" s="475"/>
      <c r="K30" s="98"/>
      <c r="L30" s="98"/>
    </row>
    <row r="31" spans="1:16" ht="15" thickBot="1">
      <c r="A31" s="98"/>
      <c r="B31" s="471"/>
      <c r="C31" s="450"/>
      <c r="D31" s="451"/>
      <c r="E31" s="545" t="s">
        <v>246</v>
      </c>
      <c r="F31" s="551"/>
      <c r="G31" s="508">
        <f>SUM(G29:G30)</f>
        <v>11616</v>
      </c>
      <c r="H31" s="452" t="s">
        <v>247</v>
      </c>
      <c r="I31" s="453">
        <f>SUM(I29:I30)</f>
        <v>0</v>
      </c>
      <c r="J31" s="475"/>
      <c r="K31" s="98"/>
      <c r="L31" s="98"/>
      <c r="P31" s="118"/>
    </row>
    <row r="32" spans="1:16" ht="15" thickBot="1">
      <c r="A32" s="98"/>
      <c r="B32" s="471"/>
      <c r="C32" s="450"/>
      <c r="D32" s="503"/>
      <c r="E32" s="503"/>
      <c r="F32" s="503"/>
      <c r="G32" s="503"/>
      <c r="H32" s="503"/>
      <c r="I32" s="509"/>
      <c r="J32" s="475"/>
      <c r="K32" s="98"/>
      <c r="L32" s="98"/>
      <c r="P32" s="118"/>
    </row>
    <row r="33" spans="1:16" ht="15" thickBot="1">
      <c r="A33" s="98"/>
      <c r="B33" s="471"/>
      <c r="C33" s="476" t="s">
        <v>347</v>
      </c>
      <c r="D33" s="512" t="s">
        <v>346</v>
      </c>
      <c r="E33" s="507">
        <v>1</v>
      </c>
      <c r="F33" s="449">
        <v>12100</v>
      </c>
      <c r="G33" s="443">
        <f>E33*F33</f>
        <v>12100</v>
      </c>
      <c r="H33" s="443">
        <f>G33</f>
        <v>12100</v>
      </c>
      <c r="I33" s="444">
        <f>E33*H33</f>
        <v>12100</v>
      </c>
      <c r="J33" s="475"/>
      <c r="K33" s="98"/>
      <c r="L33" s="98"/>
      <c r="P33" s="118"/>
    </row>
    <row r="34" spans="1:16" ht="15" thickBot="1">
      <c r="A34" s="98"/>
      <c r="B34" s="471"/>
      <c r="C34" s="476" t="s">
        <v>348</v>
      </c>
      <c r="D34" s="512" t="s">
        <v>346</v>
      </c>
      <c r="E34" s="507">
        <v>1</v>
      </c>
      <c r="F34" s="449">
        <v>3300</v>
      </c>
      <c r="G34" s="443">
        <f>E34*F34</f>
        <v>3300</v>
      </c>
      <c r="H34" s="443">
        <f>G34</f>
        <v>3300</v>
      </c>
      <c r="I34" s="444">
        <f>E34*H34</f>
        <v>3300</v>
      </c>
      <c r="J34" s="475"/>
      <c r="K34" s="98"/>
      <c r="L34" s="98"/>
      <c r="P34" s="118"/>
    </row>
    <row r="35" spans="1:16" ht="15" thickBot="1">
      <c r="A35" s="98"/>
      <c r="B35" s="471"/>
      <c r="C35" s="450"/>
      <c r="D35" s="451"/>
      <c r="E35" s="545" t="s">
        <v>349</v>
      </c>
      <c r="F35" s="551"/>
      <c r="G35" s="508">
        <f>SUM(G33:G34)</f>
        <v>15400</v>
      </c>
      <c r="H35" s="452" t="s">
        <v>350</v>
      </c>
      <c r="I35" s="453">
        <f>SUM(I33:I34)</f>
        <v>15400</v>
      </c>
      <c r="J35" s="475"/>
      <c r="K35" s="98"/>
      <c r="L35" s="98"/>
      <c r="P35" s="118"/>
    </row>
    <row r="36" spans="1:16" ht="15" thickBot="1">
      <c r="A36" s="98"/>
      <c r="B36" s="471"/>
      <c r="C36" s="450"/>
      <c r="D36" s="451"/>
      <c r="E36" s="117"/>
      <c r="F36" s="496"/>
      <c r="G36" s="504"/>
      <c r="H36" s="505"/>
      <c r="I36" s="506"/>
      <c r="J36" s="475"/>
      <c r="K36" s="98"/>
      <c r="L36" s="98"/>
      <c r="P36" s="118"/>
    </row>
    <row r="37" spans="1:16" ht="15" thickBot="1">
      <c r="A37" s="98"/>
      <c r="B37" s="471"/>
      <c r="C37" s="469"/>
      <c r="D37" s="451"/>
      <c r="E37" s="545" t="s">
        <v>340</v>
      </c>
      <c r="F37" s="552"/>
      <c r="G37" s="486">
        <f>G27+G31+G35</f>
        <v>3034049.18</v>
      </c>
      <c r="H37" s="485" t="s">
        <v>341</v>
      </c>
      <c r="I37" s="487">
        <f>I27+I31+I35</f>
        <v>15400</v>
      </c>
      <c r="J37" s="475"/>
      <c r="K37" s="98"/>
      <c r="L37" s="98"/>
      <c r="P37" s="118"/>
    </row>
    <row r="38" spans="1:16" ht="15" thickBot="1">
      <c r="A38" s="98"/>
      <c r="B38" s="471"/>
      <c r="C38" s="477"/>
      <c r="D38" s="451"/>
      <c r="E38" s="440"/>
      <c r="F38" s="440"/>
      <c r="G38" s="454"/>
      <c r="H38" s="451"/>
      <c r="I38" s="468"/>
      <c r="J38" s="475"/>
      <c r="K38" s="98"/>
      <c r="L38" s="98"/>
    </row>
    <row r="39" spans="1:16">
      <c r="A39" s="98"/>
      <c r="B39" s="471"/>
      <c r="C39" s="450"/>
      <c r="D39" s="451"/>
      <c r="E39" s="455" t="s">
        <v>248</v>
      </c>
      <c r="F39" s="456"/>
      <c r="G39" s="457">
        <f>G37</f>
        <v>3034049.18</v>
      </c>
      <c r="H39" s="458" t="s">
        <v>249</v>
      </c>
      <c r="I39" s="459">
        <f>I37</f>
        <v>15400</v>
      </c>
      <c r="J39" s="471"/>
      <c r="K39" s="98"/>
      <c r="L39" s="98"/>
    </row>
    <row r="40" spans="1:16" ht="15" thickBot="1">
      <c r="A40" s="98"/>
      <c r="B40" s="471"/>
      <c r="C40" s="450"/>
      <c r="D40" s="451"/>
      <c r="E40" s="460" t="s">
        <v>250</v>
      </c>
      <c r="F40" s="461">
        <v>0.1</v>
      </c>
      <c r="G40" s="462">
        <f>ROUND(G39*F40,2)</f>
        <v>303404.92</v>
      </c>
      <c r="H40" s="501"/>
      <c r="I40" s="510">
        <f>$I$39*H40</f>
        <v>0</v>
      </c>
      <c r="J40" s="471"/>
      <c r="K40" s="98"/>
      <c r="L40" s="98"/>
    </row>
    <row r="41" spans="1:16" ht="15" thickBot="1">
      <c r="B41" s="475"/>
      <c r="C41" s="450"/>
      <c r="D41" s="451"/>
      <c r="E41" s="463" t="s">
        <v>251</v>
      </c>
      <c r="F41" s="464"/>
      <c r="G41" s="465">
        <f>SUM(G39:G40)</f>
        <v>3337454.1</v>
      </c>
      <c r="H41" s="466" t="s">
        <v>252</v>
      </c>
      <c r="I41" s="467">
        <f>I39+I40</f>
        <v>15400</v>
      </c>
      <c r="J41" s="475"/>
    </row>
    <row r="42" spans="1:16">
      <c r="B42" s="475"/>
      <c r="C42" s="172"/>
      <c r="D42" s="176"/>
      <c r="E42" s="206"/>
      <c r="F42" s="207"/>
      <c r="G42" s="208"/>
      <c r="H42" s="186"/>
      <c r="I42" s="470"/>
      <c r="J42" s="475"/>
    </row>
    <row r="43" spans="1:16">
      <c r="B43" s="475"/>
      <c r="C43" s="172"/>
      <c r="D43" s="173" t="s">
        <v>253</v>
      </c>
      <c r="E43" s="173"/>
      <c r="F43" s="173"/>
      <c r="G43" s="209"/>
      <c r="H43" s="173"/>
      <c r="I43" s="174"/>
      <c r="J43" s="475"/>
    </row>
    <row r="44" spans="1:16" s="92" customFormat="1">
      <c r="B44" s="478"/>
      <c r="C44" s="172"/>
      <c r="D44" s="173"/>
      <c r="E44" s="173"/>
      <c r="F44" s="173"/>
      <c r="G44" s="173"/>
      <c r="H44" s="173"/>
      <c r="I44" s="174"/>
      <c r="J44" s="478"/>
    </row>
    <row r="45" spans="1:16" s="92" customFormat="1" ht="15" customHeight="1">
      <c r="B45" s="478"/>
      <c r="C45" s="172"/>
      <c r="D45" s="549" t="s">
        <v>352</v>
      </c>
      <c r="E45" s="550"/>
      <c r="F45" s="550"/>
      <c r="G45" s="550"/>
      <c r="H45" s="484"/>
      <c r="I45" s="174"/>
      <c r="J45" s="478"/>
    </row>
    <row r="46" spans="1:16" s="92" customFormat="1">
      <c r="B46" s="478"/>
      <c r="C46" s="172"/>
      <c r="D46" s="550"/>
      <c r="E46" s="550"/>
      <c r="F46" s="550"/>
      <c r="G46" s="550"/>
      <c r="H46" s="173"/>
      <c r="I46" s="174"/>
      <c r="J46" s="478"/>
    </row>
    <row r="47" spans="1:16" s="92" customFormat="1" ht="15" customHeight="1">
      <c r="B47" s="478"/>
      <c r="C47" s="172"/>
      <c r="D47" s="550"/>
      <c r="E47" s="550"/>
      <c r="F47" s="550"/>
      <c r="G47" s="550"/>
      <c r="H47" s="173"/>
      <c r="I47" s="174"/>
      <c r="J47" s="478"/>
      <c r="O47" s="247"/>
    </row>
    <row r="48" spans="1:16" s="92" customFormat="1" ht="29.25" customHeight="1">
      <c r="B48" s="478"/>
      <c r="C48" s="172"/>
      <c r="D48" s="550"/>
      <c r="E48" s="550"/>
      <c r="F48" s="550"/>
      <c r="G48" s="550"/>
      <c r="H48" s="173"/>
      <c r="I48" s="174"/>
      <c r="J48" s="479"/>
      <c r="O48" s="93"/>
    </row>
    <row r="49" spans="2:16" s="92" customFormat="1" ht="15" customHeight="1">
      <c r="B49" s="478"/>
      <c r="C49" s="172"/>
      <c r="D49" s="488"/>
      <c r="E49" s="488"/>
      <c r="F49" s="488"/>
      <c r="G49" s="488"/>
      <c r="H49" s="173"/>
      <c r="I49" s="174"/>
      <c r="J49" s="478"/>
      <c r="O49" s="93"/>
    </row>
    <row r="50" spans="2:16" s="92" customFormat="1">
      <c r="B50" s="478"/>
      <c r="C50" s="172"/>
      <c r="D50" s="488"/>
      <c r="E50" s="488"/>
      <c r="F50" s="488"/>
      <c r="G50" s="488"/>
      <c r="H50" s="173"/>
      <c r="I50" s="174"/>
      <c r="J50" s="478"/>
    </row>
    <row r="51" spans="2:16" s="92" customFormat="1" ht="18.5">
      <c r="B51" s="478"/>
      <c r="C51" s="172"/>
      <c r="D51" s="495" t="s">
        <v>342</v>
      </c>
      <c r="E51" s="495"/>
      <c r="F51" s="495"/>
      <c r="G51" s="495"/>
      <c r="H51" s="495"/>
      <c r="I51" s="174"/>
      <c r="J51" s="475"/>
    </row>
    <row r="52" spans="2:16" s="92" customFormat="1">
      <c r="B52" s="478"/>
      <c r="C52" s="172"/>
      <c r="D52" s="488"/>
      <c r="E52" s="488"/>
      <c r="F52" s="488"/>
      <c r="G52" s="488"/>
      <c r="H52" s="173"/>
      <c r="I52" s="174"/>
      <c r="J52" s="478"/>
    </row>
    <row r="53" spans="2:16" s="92" customFormat="1" ht="15" thickBot="1">
      <c r="B53" s="478"/>
      <c r="C53" s="480"/>
      <c r="D53" s="489"/>
      <c r="E53" s="489"/>
      <c r="F53" s="489"/>
      <c r="G53" s="489"/>
      <c r="H53" s="481"/>
      <c r="I53" s="482"/>
      <c r="J53" s="478"/>
    </row>
    <row r="54" spans="2:16">
      <c r="B54" s="475"/>
      <c r="C54" s="475"/>
      <c r="D54" s="475"/>
      <c r="E54" s="475"/>
      <c r="F54" s="475"/>
      <c r="G54" s="475"/>
      <c r="H54" s="475"/>
      <c r="I54" s="475"/>
    </row>
    <row r="55" spans="2:16">
      <c r="B55" s="475"/>
      <c r="C55" s="475"/>
      <c r="D55" s="475"/>
      <c r="E55" s="475"/>
      <c r="F55" s="475"/>
      <c r="G55" s="475"/>
      <c r="H55" s="483"/>
      <c r="I55" s="483"/>
      <c r="J55" s="483"/>
      <c r="K55" s="2"/>
    </row>
    <row r="56" spans="2:16">
      <c r="B56" s="475"/>
      <c r="C56" s="475"/>
      <c r="D56" s="475"/>
      <c r="E56" s="475"/>
      <c r="F56" s="475"/>
      <c r="G56" s="475"/>
      <c r="H56" s="475"/>
      <c r="I56" s="475"/>
      <c r="J56" s="475"/>
      <c r="P56" s="118">
        <v>0.21</v>
      </c>
    </row>
    <row r="57" spans="2:16">
      <c r="B57" s="475"/>
      <c r="C57" s="475"/>
      <c r="D57" s="475"/>
      <c r="E57" s="475"/>
      <c r="F57" s="475"/>
      <c r="G57" s="475"/>
      <c r="H57" s="475"/>
      <c r="I57" s="475"/>
      <c r="J57" s="475"/>
      <c r="P57" s="118">
        <v>0.1</v>
      </c>
    </row>
    <row r="58" spans="2:16">
      <c r="B58" s="475"/>
      <c r="C58" s="475"/>
      <c r="D58" s="475"/>
      <c r="E58" s="475"/>
      <c r="F58" s="475"/>
      <c r="G58" s="475"/>
      <c r="H58" s="475"/>
      <c r="I58" s="475"/>
      <c r="J58" s="475"/>
      <c r="P58" s="118">
        <v>0.04</v>
      </c>
    </row>
    <row r="59" spans="2:16">
      <c r="B59" s="475"/>
      <c r="C59" s="475"/>
      <c r="D59" s="475"/>
      <c r="E59" s="475"/>
      <c r="F59" s="475"/>
      <c r="G59" s="475"/>
      <c r="H59" s="475"/>
      <c r="I59" s="475"/>
      <c r="J59" s="475"/>
      <c r="P59" s="118">
        <v>0</v>
      </c>
    </row>
    <row r="60" spans="2:16">
      <c r="B60" s="475"/>
      <c r="C60" s="475"/>
      <c r="D60" s="475"/>
      <c r="E60" s="475"/>
      <c r="F60" s="475"/>
      <c r="G60" s="475"/>
      <c r="H60" s="475"/>
      <c r="I60" s="475"/>
      <c r="J60" s="475"/>
    </row>
    <row r="61" spans="2:16">
      <c r="B61" s="475"/>
      <c r="C61" s="475"/>
      <c r="D61" s="475"/>
      <c r="E61" s="475"/>
      <c r="F61" s="475"/>
      <c r="G61" s="475"/>
      <c r="H61" s="475"/>
      <c r="I61" s="475"/>
      <c r="J61" s="475"/>
    </row>
  </sheetData>
  <sheetProtection password="CE96" sheet="1" objects="1" scenarios="1"/>
  <mergeCells count="7">
    <mergeCell ref="E27:F27"/>
    <mergeCell ref="E7:F7"/>
    <mergeCell ref="D15:I17"/>
    <mergeCell ref="D45:G48"/>
    <mergeCell ref="E31:F31"/>
    <mergeCell ref="E35:F35"/>
    <mergeCell ref="E37:F37"/>
  </mergeCells>
  <dataValidations count="2">
    <dataValidation type="list" allowBlank="1" showInputMessage="1" showErrorMessage="1" sqref="H31 H36">
      <formula1>$M$26:$M$27</formula1>
    </dataValidation>
    <dataValidation type="list" allowBlank="1" showInputMessage="1" showErrorMessage="1" sqref="H40">
      <formula1>$P$56:$P$59</formula1>
    </dataValidation>
  </dataValidations>
  <pageMargins left="0.7" right="0.7" top="0.75" bottom="0.75" header="0.3" footer="0.3"/>
  <pageSetup paperSize="9" scale="70" orientation="landscape" r:id="rId1"/>
  <customProperties>
    <customPr name="EpmWorksheetKeyString_GU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B27"/>
  <sheetViews>
    <sheetView workbookViewId="0">
      <selection activeCell="B13" sqref="B13"/>
    </sheetView>
  </sheetViews>
  <sheetFormatPr defaultRowHeight="14.5"/>
  <cols>
    <col min="1" max="1" width="47.7265625" bestFit="1" customWidth="1"/>
    <col min="2" max="2" width="10.81640625" bestFit="1" customWidth="1"/>
    <col min="3" max="3" width="16.7265625" bestFit="1" customWidth="1"/>
    <col min="4" max="4" width="12.26953125" bestFit="1" customWidth="1"/>
    <col min="5" max="5" width="14.7265625" style="8" bestFit="1" customWidth="1"/>
    <col min="6" max="6" width="15" customWidth="1"/>
    <col min="7" max="7" width="13.1796875" bestFit="1" customWidth="1"/>
    <col min="8" max="8" width="14.1796875" bestFit="1" customWidth="1"/>
    <col min="9" max="9" width="12.81640625" bestFit="1" customWidth="1"/>
    <col min="10" max="10" width="14.7265625" style="8" bestFit="1" customWidth="1"/>
    <col min="11" max="11" width="12" bestFit="1" customWidth="1"/>
    <col min="12" max="12" width="11" bestFit="1" customWidth="1"/>
    <col min="13" max="14" width="13.1796875" bestFit="1" customWidth="1"/>
    <col min="15" max="15" width="14.7265625" bestFit="1" customWidth="1"/>
    <col min="16" max="16" width="12.81640625" bestFit="1" customWidth="1"/>
    <col min="17" max="17" width="14.7265625" bestFit="1" customWidth="1"/>
    <col min="19" max="19" width="15.7265625" bestFit="1" customWidth="1"/>
    <col min="21" max="21" width="10.54296875" bestFit="1" customWidth="1"/>
    <col min="22" max="23" width="12.54296875" bestFit="1" customWidth="1"/>
    <col min="24" max="24" width="14.1796875" bestFit="1" customWidth="1"/>
    <col min="25" max="25" width="12.26953125" bestFit="1" customWidth="1"/>
    <col min="26" max="26" width="14.1796875" bestFit="1" customWidth="1"/>
    <col min="27" max="27" width="7.7265625" bestFit="1" customWidth="1"/>
    <col min="28" max="28" width="14.26953125" bestFit="1" customWidth="1"/>
  </cols>
  <sheetData>
    <row r="1" spans="1:28" ht="15" thickBot="1">
      <c r="G1" s="13">
        <f>'Original subrogació 2022'!I1</f>
        <v>0.32500000000000001</v>
      </c>
      <c r="N1" s="13">
        <v>0.32500000000000001</v>
      </c>
      <c r="W1" s="13">
        <v>0.32500000000000001</v>
      </c>
    </row>
    <row r="2" spans="1:28" ht="51.75" customHeight="1">
      <c r="A2" s="3" t="s">
        <v>5</v>
      </c>
      <c r="B2" s="230" t="s">
        <v>335</v>
      </c>
      <c r="C2" s="235" t="s">
        <v>334</v>
      </c>
      <c r="D2" s="239" t="s">
        <v>265</v>
      </c>
      <c r="E2" s="232" t="s">
        <v>264</v>
      </c>
      <c r="F2" s="3" t="s">
        <v>52</v>
      </c>
      <c r="G2" s="16" t="s">
        <v>63</v>
      </c>
      <c r="H2" s="16" t="s">
        <v>66</v>
      </c>
      <c r="I2" s="16" t="s">
        <v>64</v>
      </c>
      <c r="J2" s="16" t="s">
        <v>268</v>
      </c>
      <c r="L2" s="16" t="s">
        <v>70</v>
      </c>
      <c r="M2" s="16" t="s">
        <v>265</v>
      </c>
      <c r="N2" s="16" t="s">
        <v>63</v>
      </c>
      <c r="O2" s="16" t="s">
        <v>66</v>
      </c>
      <c r="P2" s="16" t="s">
        <v>71</v>
      </c>
      <c r="Q2" s="16" t="s">
        <v>65</v>
      </c>
      <c r="R2" s="16" t="s">
        <v>72</v>
      </c>
      <c r="S2" s="16" t="s">
        <v>268</v>
      </c>
      <c r="U2" s="16" t="s">
        <v>70</v>
      </c>
      <c r="V2" s="16" t="s">
        <v>265</v>
      </c>
      <c r="W2" s="16" t="s">
        <v>63</v>
      </c>
      <c r="X2" s="16" t="s">
        <v>66</v>
      </c>
      <c r="Y2" s="16" t="s">
        <v>71</v>
      </c>
      <c r="Z2" s="16" t="s">
        <v>65</v>
      </c>
      <c r="AA2" s="16" t="s">
        <v>72</v>
      </c>
      <c r="AB2" s="16" t="s">
        <v>268</v>
      </c>
    </row>
    <row r="3" spans="1:28" s="26" customFormat="1">
      <c r="A3" s="229" t="s">
        <v>9</v>
      </c>
      <c r="B3" s="231">
        <v>1</v>
      </c>
      <c r="C3" s="236">
        <v>2</v>
      </c>
      <c r="D3" s="240">
        <f>F3*C3</f>
        <v>42198.720000000001</v>
      </c>
      <c r="E3" s="233">
        <f>ROUND('Original subrogació 2022'!H3,2)</f>
        <v>21099.360000000001</v>
      </c>
      <c r="F3" s="7">
        <f>E3/B3</f>
        <v>21099.360000000001</v>
      </c>
      <c r="G3" s="7">
        <f>D3*$G$1</f>
        <v>13714.584000000001</v>
      </c>
      <c r="H3" s="7">
        <f>D3+G3</f>
        <v>55913.304000000004</v>
      </c>
      <c r="I3" s="7">
        <f>H3/14</f>
        <v>3993.8074285714288</v>
      </c>
      <c r="J3" s="7">
        <f>H3+I3</f>
        <v>59907.111428571436</v>
      </c>
      <c r="L3" s="27">
        <v>1437.68</v>
      </c>
      <c r="M3" s="27">
        <f>L3*14*C3</f>
        <v>40255.040000000001</v>
      </c>
      <c r="N3" s="27">
        <f>M3*$N$1</f>
        <v>13082.888000000001</v>
      </c>
      <c r="O3" s="27">
        <f>M3+N3</f>
        <v>53337.928</v>
      </c>
      <c r="P3" s="27">
        <f>O3/14</f>
        <v>3809.8519999999999</v>
      </c>
      <c r="Q3" s="27">
        <f>O3+P3</f>
        <v>57147.78</v>
      </c>
      <c r="R3" s="30">
        <v>1</v>
      </c>
      <c r="S3" s="29">
        <f>Q3*R3</f>
        <v>57147.78</v>
      </c>
      <c r="U3" s="29">
        <v>1480.81</v>
      </c>
      <c r="V3" s="27">
        <f>U3*14*C3</f>
        <v>41462.68</v>
      </c>
      <c r="W3" s="27">
        <f>V3*$N$1</f>
        <v>13475.371000000001</v>
      </c>
      <c r="X3" s="27">
        <f>V3+W3</f>
        <v>54938.050999999999</v>
      </c>
      <c r="Y3" s="27">
        <f>X3/14</f>
        <v>3924.1464999999998</v>
      </c>
      <c r="Z3" s="27">
        <f>X3+Y3</f>
        <v>58862.197500000002</v>
      </c>
      <c r="AA3" s="30">
        <v>1</v>
      </c>
      <c r="AB3" s="29">
        <f>Z3*AA3</f>
        <v>58862.197500000002</v>
      </c>
    </row>
    <row r="4" spans="1:28" s="26" customFormat="1">
      <c r="A4" s="229" t="s">
        <v>51</v>
      </c>
      <c r="B4" s="231">
        <v>2</v>
      </c>
      <c r="C4" s="236">
        <v>4</v>
      </c>
      <c r="D4" s="240">
        <f>F4*C4</f>
        <v>73269.84</v>
      </c>
      <c r="E4" s="233">
        <f>ROUND('Original subrogació 2022'!H4+'Original subrogació 2022'!H5,2)</f>
        <v>36634.92</v>
      </c>
      <c r="F4" s="7">
        <f>E4/B4</f>
        <v>18317.46</v>
      </c>
      <c r="G4" s="7">
        <f t="shared" ref="G4:G12" si="0">D4*$G$1</f>
        <v>23812.698</v>
      </c>
      <c r="H4" s="7">
        <f t="shared" ref="H4:H12" si="1">D4+G4</f>
        <v>97082.538</v>
      </c>
      <c r="I4" s="7">
        <f t="shared" ref="I4:I12" si="2">H4/14</f>
        <v>6934.4669999999996</v>
      </c>
      <c r="J4" s="7">
        <f t="shared" ref="J4:J12" si="3">H4+I4</f>
        <v>104017.005</v>
      </c>
      <c r="L4" s="27">
        <v>1330.74</v>
      </c>
      <c r="M4" s="27">
        <f t="shared" ref="M4:M12" si="4">L4*14*C4</f>
        <v>74521.440000000002</v>
      </c>
      <c r="N4" s="27">
        <f t="shared" ref="N4:N12" si="5">M4*$N$1</f>
        <v>24219.468000000001</v>
      </c>
      <c r="O4" s="27">
        <f t="shared" ref="O4:O12" si="6">M4+N4</f>
        <v>98740.907999999996</v>
      </c>
      <c r="P4" s="27">
        <f t="shared" ref="P4:P12" si="7">O4/14</f>
        <v>7052.9219999999996</v>
      </c>
      <c r="Q4" s="27">
        <f t="shared" ref="Q4:Q12" si="8">O4+P4</f>
        <v>105793.83</v>
      </c>
      <c r="R4" s="28">
        <v>0.97499999999999998</v>
      </c>
      <c r="S4" s="29">
        <f t="shared" ref="S4:S12" si="9">Q4*R4</f>
        <v>103148.98424999999</v>
      </c>
      <c r="U4" s="29">
        <v>1370.66</v>
      </c>
      <c r="V4" s="27">
        <f t="shared" ref="V4:V12" si="10">U4*14*C4</f>
        <v>76756.960000000006</v>
      </c>
      <c r="W4" s="27">
        <f t="shared" ref="W4:W12" si="11">V4*$N$1</f>
        <v>24946.012000000002</v>
      </c>
      <c r="X4" s="27">
        <f t="shared" ref="X4:X12" si="12">V4+W4</f>
        <v>101702.97200000001</v>
      </c>
      <c r="Y4" s="27">
        <f t="shared" ref="Y4:Y12" si="13">X4/14</f>
        <v>7264.4980000000005</v>
      </c>
      <c r="Z4" s="27">
        <f t="shared" ref="Z4:Z12" si="14">X4+Y4</f>
        <v>108967.47000000002</v>
      </c>
      <c r="AA4" s="28">
        <v>0.97499999999999998</v>
      </c>
      <c r="AB4" s="29">
        <f t="shared" ref="AB4:AB12" si="15">Z4*AA4</f>
        <v>106243.28325000001</v>
      </c>
    </row>
    <row r="5" spans="1:28" s="26" customFormat="1">
      <c r="A5" s="6" t="s">
        <v>44</v>
      </c>
      <c r="B5" s="231">
        <v>6</v>
      </c>
      <c r="C5" s="237">
        <v>6</v>
      </c>
      <c r="D5" s="241">
        <f>F5*C5</f>
        <v>106374.64</v>
      </c>
      <c r="E5" s="233">
        <f>ROUND(SUM('Original subrogació 2022'!H6:H11),2)</f>
        <v>106374.64</v>
      </c>
      <c r="F5" s="7">
        <f>E5/B5</f>
        <v>17729.106666666667</v>
      </c>
      <c r="G5" s="7">
        <f t="shared" si="0"/>
        <v>34571.758000000002</v>
      </c>
      <c r="H5" s="7">
        <f t="shared" si="1"/>
        <v>140946.39799999999</v>
      </c>
      <c r="I5" s="7">
        <f t="shared" si="2"/>
        <v>10067.599857142855</v>
      </c>
      <c r="J5" s="7">
        <f t="shared" si="3"/>
        <v>151013.99785714285</v>
      </c>
      <c r="L5" s="27">
        <v>1330.74</v>
      </c>
      <c r="M5" s="27">
        <f t="shared" si="4"/>
        <v>111782.16</v>
      </c>
      <c r="N5" s="27">
        <f t="shared" si="5"/>
        <v>36329.202000000005</v>
      </c>
      <c r="O5" s="27">
        <f t="shared" si="6"/>
        <v>148111.36200000002</v>
      </c>
      <c r="P5" s="27">
        <f t="shared" si="7"/>
        <v>10579.383000000002</v>
      </c>
      <c r="Q5" s="27">
        <f t="shared" si="8"/>
        <v>158690.74500000002</v>
      </c>
      <c r="R5" s="28">
        <v>0.94169999999999998</v>
      </c>
      <c r="S5" s="29">
        <f t="shared" si="9"/>
        <v>149439.07456650003</v>
      </c>
      <c r="U5" s="29">
        <v>1370.66</v>
      </c>
      <c r="V5" s="27">
        <f t="shared" si="10"/>
        <v>115135.44</v>
      </c>
      <c r="W5" s="27">
        <f t="shared" si="11"/>
        <v>37419.018000000004</v>
      </c>
      <c r="X5" s="27">
        <f t="shared" si="12"/>
        <v>152554.45800000001</v>
      </c>
      <c r="Y5" s="27">
        <f t="shared" si="13"/>
        <v>10896.747000000001</v>
      </c>
      <c r="Z5" s="27">
        <f t="shared" si="14"/>
        <v>163451.20500000002</v>
      </c>
      <c r="AA5" s="28">
        <v>0.94169999999999998</v>
      </c>
      <c r="AB5" s="29">
        <f t="shared" si="15"/>
        <v>153921.99974850001</v>
      </c>
    </row>
    <row r="6" spans="1:28" s="26" customFormat="1">
      <c r="A6" s="6" t="s">
        <v>45</v>
      </c>
      <c r="B6" s="231">
        <v>4</v>
      </c>
      <c r="C6" s="237">
        <v>4</v>
      </c>
      <c r="D6" s="241">
        <f t="shared" ref="D6:D12" si="16">F6*C6</f>
        <v>67876.740000000005</v>
      </c>
      <c r="E6" s="233">
        <f>ROUND(SUM('Original subrogació 2022'!H12:H15),2)</f>
        <v>67876.740000000005</v>
      </c>
      <c r="F6" s="7">
        <f>E6/B6</f>
        <v>16969.185000000001</v>
      </c>
      <c r="G6" s="7">
        <f t="shared" si="0"/>
        <v>22059.940500000004</v>
      </c>
      <c r="H6" s="7">
        <f t="shared" si="1"/>
        <v>89936.680500000017</v>
      </c>
      <c r="I6" s="7">
        <f t="shared" si="2"/>
        <v>6424.0486071428586</v>
      </c>
      <c r="J6" s="7">
        <f t="shared" si="3"/>
        <v>96360.729107142877</v>
      </c>
      <c r="L6" s="27">
        <v>1305.75</v>
      </c>
      <c r="M6" s="27">
        <f t="shared" si="4"/>
        <v>73122</v>
      </c>
      <c r="N6" s="27">
        <f t="shared" si="5"/>
        <v>23764.65</v>
      </c>
      <c r="O6" s="27">
        <f t="shared" si="6"/>
        <v>96886.65</v>
      </c>
      <c r="P6" s="27">
        <f t="shared" si="7"/>
        <v>6920.4749999999995</v>
      </c>
      <c r="Q6" s="27">
        <f t="shared" si="8"/>
        <v>103807.125</v>
      </c>
      <c r="R6" s="28">
        <v>0.9</v>
      </c>
      <c r="S6" s="29">
        <f t="shared" si="9"/>
        <v>93426.412500000006</v>
      </c>
      <c r="U6" s="29">
        <v>1344.92</v>
      </c>
      <c r="V6" s="27">
        <f t="shared" si="10"/>
        <v>75315.520000000004</v>
      </c>
      <c r="W6" s="27">
        <f t="shared" si="11"/>
        <v>24477.544000000002</v>
      </c>
      <c r="X6" s="27">
        <f t="shared" si="12"/>
        <v>99793.064000000013</v>
      </c>
      <c r="Y6" s="27">
        <f t="shared" si="13"/>
        <v>7128.0760000000009</v>
      </c>
      <c r="Z6" s="27">
        <f t="shared" si="14"/>
        <v>106921.14000000001</v>
      </c>
      <c r="AA6" s="28">
        <v>0.9</v>
      </c>
      <c r="AB6" s="29">
        <f t="shared" si="15"/>
        <v>96229.026000000013</v>
      </c>
    </row>
    <row r="7" spans="1:28" s="26" customFormat="1">
      <c r="A7" s="6" t="s">
        <v>46</v>
      </c>
      <c r="B7" s="231">
        <v>2</v>
      </c>
      <c r="C7" s="237">
        <v>2</v>
      </c>
      <c r="D7" s="241">
        <f t="shared" si="16"/>
        <v>47773.120000000003</v>
      </c>
      <c r="E7" s="233">
        <f>ROUND(SUM('Original subrogació 2022'!H16:H17),2)</f>
        <v>47773.120000000003</v>
      </c>
      <c r="F7" s="7">
        <f t="shared" ref="F7:F12" si="17">E7/B7</f>
        <v>23886.560000000001</v>
      </c>
      <c r="G7" s="7">
        <f t="shared" si="0"/>
        <v>15526.264000000001</v>
      </c>
      <c r="H7" s="7">
        <f t="shared" si="1"/>
        <v>63299.384000000005</v>
      </c>
      <c r="I7" s="7">
        <f t="shared" si="2"/>
        <v>4521.3845714285717</v>
      </c>
      <c r="J7" s="7">
        <f t="shared" si="3"/>
        <v>67820.768571428576</v>
      </c>
      <c r="L7" s="27">
        <v>1437.68</v>
      </c>
      <c r="M7" s="27">
        <f t="shared" si="4"/>
        <v>40255.040000000001</v>
      </c>
      <c r="N7" s="27">
        <f t="shared" si="5"/>
        <v>13082.888000000001</v>
      </c>
      <c r="O7" s="27">
        <f t="shared" si="6"/>
        <v>53337.928</v>
      </c>
      <c r="P7" s="27">
        <f t="shared" si="7"/>
        <v>3809.8519999999999</v>
      </c>
      <c r="Q7" s="27">
        <f t="shared" si="8"/>
        <v>57147.78</v>
      </c>
      <c r="R7" s="28">
        <v>1</v>
      </c>
      <c r="S7" s="29">
        <f t="shared" si="9"/>
        <v>57147.78</v>
      </c>
      <c r="U7" s="29">
        <v>1480.81</v>
      </c>
      <c r="V7" s="27">
        <f t="shared" si="10"/>
        <v>41462.68</v>
      </c>
      <c r="W7" s="27">
        <f t="shared" si="11"/>
        <v>13475.371000000001</v>
      </c>
      <c r="X7" s="27">
        <f t="shared" si="12"/>
        <v>54938.050999999999</v>
      </c>
      <c r="Y7" s="27">
        <f t="shared" si="13"/>
        <v>3924.1464999999998</v>
      </c>
      <c r="Z7" s="27">
        <f t="shared" si="14"/>
        <v>58862.197500000002</v>
      </c>
      <c r="AA7" s="28">
        <v>1</v>
      </c>
      <c r="AB7" s="29">
        <f t="shared" si="15"/>
        <v>58862.197500000002</v>
      </c>
    </row>
    <row r="8" spans="1:28" s="26" customFormat="1">
      <c r="A8" s="6" t="s">
        <v>21</v>
      </c>
      <c r="B8" s="231">
        <v>20</v>
      </c>
      <c r="C8" s="237">
        <v>20</v>
      </c>
      <c r="D8" s="241">
        <f t="shared" si="16"/>
        <v>403815.4</v>
      </c>
      <c r="E8" s="233">
        <f>ROUND(SUM('Original subrogació 2022'!H18:H37),2)</f>
        <v>403815.4</v>
      </c>
      <c r="F8" s="7">
        <f t="shared" si="17"/>
        <v>20190.77</v>
      </c>
      <c r="G8" s="7">
        <f t="shared" si="0"/>
        <v>131240.005</v>
      </c>
      <c r="H8" s="7">
        <f t="shared" si="1"/>
        <v>535055.40500000003</v>
      </c>
      <c r="I8" s="7">
        <f t="shared" si="2"/>
        <v>38218.243214285714</v>
      </c>
      <c r="J8" s="7">
        <f t="shared" si="3"/>
        <v>573273.64821428573</v>
      </c>
      <c r="L8" s="27">
        <v>1437.74</v>
      </c>
      <c r="M8" s="27">
        <f t="shared" si="4"/>
        <v>402567.2</v>
      </c>
      <c r="N8" s="27">
        <f t="shared" si="5"/>
        <v>130834.34000000001</v>
      </c>
      <c r="O8" s="27">
        <f t="shared" si="6"/>
        <v>533401.54</v>
      </c>
      <c r="P8" s="27">
        <f t="shared" si="7"/>
        <v>38100.11</v>
      </c>
      <c r="Q8" s="27">
        <f t="shared" si="8"/>
        <v>571501.65</v>
      </c>
      <c r="R8" s="28">
        <v>0.97629999999999995</v>
      </c>
      <c r="S8" s="29">
        <f t="shared" si="9"/>
        <v>557957.060895</v>
      </c>
      <c r="U8" s="29">
        <v>1480.81</v>
      </c>
      <c r="V8" s="27">
        <f t="shared" si="10"/>
        <v>414626.8</v>
      </c>
      <c r="W8" s="27">
        <f t="shared" si="11"/>
        <v>134753.71</v>
      </c>
      <c r="X8" s="27">
        <f t="shared" si="12"/>
        <v>549380.51</v>
      </c>
      <c r="Y8" s="27">
        <f t="shared" si="13"/>
        <v>39241.465000000004</v>
      </c>
      <c r="Z8" s="27">
        <f t="shared" si="14"/>
        <v>588621.97499999998</v>
      </c>
      <c r="AA8" s="28">
        <v>0.97629999999999995</v>
      </c>
      <c r="AB8" s="29">
        <f t="shared" si="15"/>
        <v>574671.63419249991</v>
      </c>
    </row>
    <row r="9" spans="1:28" s="26" customFormat="1">
      <c r="A9" s="6" t="s">
        <v>47</v>
      </c>
      <c r="B9" s="231">
        <v>1</v>
      </c>
      <c r="C9" s="237">
        <v>1</v>
      </c>
      <c r="D9" s="241">
        <f t="shared" si="16"/>
        <v>19777.240000000002</v>
      </c>
      <c r="E9" s="233">
        <f>ROUND('Original subrogació 2022'!H38,2)</f>
        <v>19777.240000000002</v>
      </c>
      <c r="F9" s="7">
        <f t="shared" si="17"/>
        <v>19777.240000000002</v>
      </c>
      <c r="G9" s="7">
        <f t="shared" si="0"/>
        <v>6427.603000000001</v>
      </c>
      <c r="H9" s="7">
        <f t="shared" si="1"/>
        <v>26204.843000000001</v>
      </c>
      <c r="I9" s="7">
        <f t="shared" si="2"/>
        <v>1871.7745</v>
      </c>
      <c r="J9" s="7">
        <f t="shared" si="3"/>
        <v>28076.6175</v>
      </c>
      <c r="L9" s="27">
        <v>1437.68</v>
      </c>
      <c r="M9" s="27">
        <f t="shared" si="4"/>
        <v>20127.52</v>
      </c>
      <c r="N9" s="27">
        <f t="shared" si="5"/>
        <v>6541.4440000000004</v>
      </c>
      <c r="O9" s="27">
        <f t="shared" si="6"/>
        <v>26668.964</v>
      </c>
      <c r="P9" s="27">
        <f t="shared" si="7"/>
        <v>1904.9259999999999</v>
      </c>
      <c r="Q9" s="27">
        <f t="shared" si="8"/>
        <v>28573.89</v>
      </c>
      <c r="R9" s="28">
        <v>0.97499999999999998</v>
      </c>
      <c r="S9" s="29">
        <f t="shared" si="9"/>
        <v>27859.542750000001</v>
      </c>
      <c r="U9" s="29">
        <v>1480.81</v>
      </c>
      <c r="V9" s="27">
        <f t="shared" si="10"/>
        <v>20731.34</v>
      </c>
      <c r="W9" s="27">
        <f t="shared" si="11"/>
        <v>6737.6855000000005</v>
      </c>
      <c r="X9" s="27">
        <f t="shared" si="12"/>
        <v>27469.0255</v>
      </c>
      <c r="Y9" s="27">
        <f t="shared" si="13"/>
        <v>1962.0732499999999</v>
      </c>
      <c r="Z9" s="27">
        <f t="shared" si="14"/>
        <v>29431.098750000001</v>
      </c>
      <c r="AA9" s="28">
        <v>0.97499999999999998</v>
      </c>
      <c r="AB9" s="29">
        <f t="shared" si="15"/>
        <v>28695.321281249999</v>
      </c>
    </row>
    <row r="10" spans="1:28" s="26" customFormat="1">
      <c r="A10" s="6" t="s">
        <v>48</v>
      </c>
      <c r="B10" s="231">
        <v>1</v>
      </c>
      <c r="C10" s="248">
        <v>1</v>
      </c>
      <c r="D10" s="241">
        <f t="shared" si="16"/>
        <v>23053.06</v>
      </c>
      <c r="E10" s="233">
        <f>ROUND('Original subrogació 2022'!H39,2)</f>
        <v>23053.06</v>
      </c>
      <c r="F10" s="7">
        <f t="shared" si="17"/>
        <v>23053.06</v>
      </c>
      <c r="G10" s="7">
        <f t="shared" si="0"/>
        <v>7492.2445000000007</v>
      </c>
      <c r="H10" s="7">
        <f t="shared" si="1"/>
        <v>30545.304500000002</v>
      </c>
      <c r="I10" s="7">
        <f t="shared" si="2"/>
        <v>2181.8074642857146</v>
      </c>
      <c r="J10" s="7">
        <f t="shared" si="3"/>
        <v>32727.111964285716</v>
      </c>
      <c r="L10" s="27">
        <v>1492.68</v>
      </c>
      <c r="M10" s="27">
        <f t="shared" si="4"/>
        <v>20897.52</v>
      </c>
      <c r="N10" s="27">
        <f t="shared" si="5"/>
        <v>6791.6940000000004</v>
      </c>
      <c r="O10" s="27">
        <f t="shared" si="6"/>
        <v>27689.214</v>
      </c>
      <c r="P10" s="27">
        <f t="shared" si="7"/>
        <v>1977.8009999999999</v>
      </c>
      <c r="Q10" s="27">
        <f t="shared" si="8"/>
        <v>29667.014999999999</v>
      </c>
      <c r="R10" s="28">
        <v>0.97499999999999998</v>
      </c>
      <c r="S10" s="29">
        <f t="shared" si="9"/>
        <v>28925.339625000001</v>
      </c>
      <c r="U10" s="29">
        <v>1537.46</v>
      </c>
      <c r="V10" s="27">
        <f t="shared" si="10"/>
        <v>21524.440000000002</v>
      </c>
      <c r="W10" s="27">
        <f t="shared" si="11"/>
        <v>6995.4430000000011</v>
      </c>
      <c r="X10" s="27">
        <f t="shared" si="12"/>
        <v>28519.883000000002</v>
      </c>
      <c r="Y10" s="27">
        <f t="shared" si="13"/>
        <v>2037.1345000000001</v>
      </c>
      <c r="Z10" s="27">
        <f t="shared" si="14"/>
        <v>30557.017500000002</v>
      </c>
      <c r="AA10" s="28">
        <v>0.97499999999999998</v>
      </c>
      <c r="AB10" s="29">
        <f t="shared" si="15"/>
        <v>29793.0920625</v>
      </c>
    </row>
    <row r="11" spans="1:28" s="26" customFormat="1">
      <c r="A11" s="6" t="s">
        <v>49</v>
      </c>
      <c r="B11" s="231">
        <v>1</v>
      </c>
      <c r="C11" s="237">
        <v>1</v>
      </c>
      <c r="D11" s="241">
        <f t="shared" si="16"/>
        <v>21099.360000000001</v>
      </c>
      <c r="E11" s="233">
        <f>ROUND('Original subrogació 2022'!H40,2)</f>
        <v>21099.360000000001</v>
      </c>
      <c r="F11" s="7">
        <f t="shared" si="17"/>
        <v>21099.360000000001</v>
      </c>
      <c r="G11" s="7">
        <f t="shared" si="0"/>
        <v>6857.2920000000004</v>
      </c>
      <c r="H11" s="7">
        <f t="shared" si="1"/>
        <v>27956.652000000002</v>
      </c>
      <c r="I11" s="7">
        <f t="shared" si="2"/>
        <v>1996.9037142857144</v>
      </c>
      <c r="J11" s="7">
        <f t="shared" si="3"/>
        <v>29953.555714285718</v>
      </c>
      <c r="L11" s="27">
        <v>1492.68</v>
      </c>
      <c r="M11" s="27">
        <f t="shared" si="4"/>
        <v>20897.52</v>
      </c>
      <c r="N11" s="27">
        <f t="shared" si="5"/>
        <v>6791.6940000000004</v>
      </c>
      <c r="O11" s="27">
        <f t="shared" si="6"/>
        <v>27689.214</v>
      </c>
      <c r="P11" s="27">
        <f t="shared" si="7"/>
        <v>1977.8009999999999</v>
      </c>
      <c r="Q11" s="27">
        <f t="shared" si="8"/>
        <v>29667.014999999999</v>
      </c>
      <c r="R11" s="28">
        <v>1</v>
      </c>
      <c r="S11" s="29">
        <f t="shared" si="9"/>
        <v>29667.014999999999</v>
      </c>
      <c r="U11" s="29">
        <v>1537.46</v>
      </c>
      <c r="V11" s="27">
        <f t="shared" si="10"/>
        <v>21524.440000000002</v>
      </c>
      <c r="W11" s="27">
        <f t="shared" si="11"/>
        <v>6995.4430000000011</v>
      </c>
      <c r="X11" s="27">
        <f t="shared" si="12"/>
        <v>28519.883000000002</v>
      </c>
      <c r="Y11" s="27">
        <f t="shared" si="13"/>
        <v>2037.1345000000001</v>
      </c>
      <c r="Z11" s="27">
        <f t="shared" si="14"/>
        <v>30557.017500000002</v>
      </c>
      <c r="AA11" s="28">
        <v>1</v>
      </c>
      <c r="AB11" s="29">
        <f t="shared" si="15"/>
        <v>30557.017500000002</v>
      </c>
    </row>
    <row r="12" spans="1:28" s="26" customFormat="1">
      <c r="A12" s="6" t="s">
        <v>43</v>
      </c>
      <c r="B12" s="231">
        <v>2</v>
      </c>
      <c r="C12" s="237">
        <v>2</v>
      </c>
      <c r="D12" s="241">
        <f t="shared" si="16"/>
        <v>33210.660000000003</v>
      </c>
      <c r="E12" s="233">
        <f>ROUND(SUM('Original subrogació 2022'!H41:H42),2)</f>
        <v>33210.660000000003</v>
      </c>
      <c r="F12" s="7">
        <f t="shared" si="17"/>
        <v>16605.330000000002</v>
      </c>
      <c r="G12" s="7">
        <f t="shared" si="0"/>
        <v>10793.464500000002</v>
      </c>
      <c r="H12" s="7">
        <f t="shared" si="1"/>
        <v>44004.124500000005</v>
      </c>
      <c r="I12" s="7">
        <f t="shared" si="2"/>
        <v>3143.1517500000004</v>
      </c>
      <c r="J12" s="7">
        <f t="shared" si="3"/>
        <v>47147.276250000003</v>
      </c>
      <c r="L12" s="27">
        <v>1305.75</v>
      </c>
      <c r="M12" s="27">
        <f t="shared" si="4"/>
        <v>36561</v>
      </c>
      <c r="N12" s="27">
        <f t="shared" si="5"/>
        <v>11882.325000000001</v>
      </c>
      <c r="O12" s="27">
        <f t="shared" si="6"/>
        <v>48443.324999999997</v>
      </c>
      <c r="P12" s="27">
        <f t="shared" si="7"/>
        <v>3460.2374999999997</v>
      </c>
      <c r="Q12" s="27">
        <f t="shared" si="8"/>
        <v>51903.5625</v>
      </c>
      <c r="R12" s="28">
        <v>0.9</v>
      </c>
      <c r="S12" s="29">
        <f t="shared" si="9"/>
        <v>46713.206250000003</v>
      </c>
      <c r="U12" s="29">
        <v>1344.92</v>
      </c>
      <c r="V12" s="27">
        <f t="shared" si="10"/>
        <v>37657.760000000002</v>
      </c>
      <c r="W12" s="27">
        <f t="shared" si="11"/>
        <v>12238.772000000001</v>
      </c>
      <c r="X12" s="27">
        <f t="shared" si="12"/>
        <v>49896.532000000007</v>
      </c>
      <c r="Y12" s="27">
        <f t="shared" si="13"/>
        <v>3564.0380000000005</v>
      </c>
      <c r="Z12" s="27">
        <f t="shared" si="14"/>
        <v>53460.570000000007</v>
      </c>
      <c r="AA12" s="28">
        <v>0.9</v>
      </c>
      <c r="AB12" s="29">
        <f t="shared" si="15"/>
        <v>48114.513000000006</v>
      </c>
    </row>
    <row r="13" spans="1:28" ht="15" thickBot="1">
      <c r="A13" s="3" t="s">
        <v>50</v>
      </c>
      <c r="B13" s="230">
        <f>SUM(B3:B12)</f>
        <v>40</v>
      </c>
      <c r="C13" s="238">
        <f>SUM(C3:C12)</f>
        <v>43</v>
      </c>
      <c r="D13" s="242">
        <f>SUM(D3:D12)</f>
        <v>838448.78</v>
      </c>
      <c r="E13" s="234">
        <f>SUM(E3:E12)</f>
        <v>780714.5</v>
      </c>
      <c r="F13" s="20">
        <f>E13/B13</f>
        <v>19517.862499999999</v>
      </c>
      <c r="G13" s="19">
        <f>SUM(G3:G12)</f>
        <v>272495.85349999997</v>
      </c>
      <c r="H13" s="19">
        <f>SUM(H3:H12)</f>
        <v>1110944.6335</v>
      </c>
      <c r="I13" s="19">
        <f>SUM(I3:I12)</f>
        <v>79353.188107142851</v>
      </c>
      <c r="J13" s="19">
        <f>SUM(J3:J12)</f>
        <v>1190297.8216071429</v>
      </c>
      <c r="M13" s="12">
        <f>SUM(M3:M12)</f>
        <v>840986.44000000006</v>
      </c>
      <c r="N13" s="12">
        <f>SUM(N3:N12)</f>
        <v>273320.59299999999</v>
      </c>
      <c r="O13" s="12">
        <f t="shared" ref="O13:S13" si="18">SUM(O3:O12)</f>
        <v>1114307.0330000001</v>
      </c>
      <c r="P13" s="12">
        <f t="shared" si="18"/>
        <v>79593.35950000002</v>
      </c>
      <c r="Q13" s="12">
        <f t="shared" si="18"/>
        <v>1193900.3924999998</v>
      </c>
      <c r="S13" s="22">
        <f t="shared" si="18"/>
        <v>1151432.1958365</v>
      </c>
      <c r="V13" s="12">
        <f>SUM(V3:V12)</f>
        <v>866198.06</v>
      </c>
      <c r="W13" s="12">
        <f>SUM(W3:W12)</f>
        <v>281514.36950000003</v>
      </c>
      <c r="X13" s="12">
        <f t="shared" ref="X13:Z13" si="19">SUM(X3:X12)</f>
        <v>1147712.4295000001</v>
      </c>
      <c r="Y13" s="12">
        <f t="shared" si="19"/>
        <v>81979.45925</v>
      </c>
      <c r="Z13" s="12">
        <f t="shared" si="19"/>
        <v>1229691.8887500002</v>
      </c>
      <c r="AB13" s="22">
        <f t="shared" ref="AB13" si="20">SUM(AB3:AB12)</f>
        <v>1185950.2820347503</v>
      </c>
    </row>
    <row r="15" spans="1:28">
      <c r="A15" s="10" t="s">
        <v>53</v>
      </c>
    </row>
    <row r="16" spans="1:28">
      <c r="A16" s="10" t="s">
        <v>62</v>
      </c>
      <c r="B16">
        <f>B17+B20+B23</f>
        <v>40</v>
      </c>
      <c r="C16">
        <f>C17+C20+C23</f>
        <v>43</v>
      </c>
      <c r="E16" s="9">
        <f>E17+E20+E23</f>
        <v>1221019.5899999999</v>
      </c>
      <c r="F16" s="12">
        <f>E16/B16</f>
        <v>30525.489749999997</v>
      </c>
    </row>
    <row r="17" spans="1:24">
      <c r="A17" s="8" t="s">
        <v>54</v>
      </c>
      <c r="B17">
        <f>B18+B19</f>
        <v>10</v>
      </c>
      <c r="C17">
        <f>C18+C19</f>
        <v>10</v>
      </c>
      <c r="E17" s="9">
        <f>E18+E19</f>
        <v>185146.95</v>
      </c>
      <c r="F17" s="12">
        <f>E17/B17</f>
        <v>18514.695</v>
      </c>
      <c r="J17" s="22">
        <f>J18+J19</f>
        <v>265982.04267857142</v>
      </c>
    </row>
    <row r="18" spans="1:24">
      <c r="A18" t="s">
        <v>55</v>
      </c>
      <c r="B18" s="11">
        <f>B7+B12</f>
        <v>4</v>
      </c>
      <c r="C18" s="11">
        <f>C7+C12</f>
        <v>4</v>
      </c>
      <c r="D18" s="11"/>
      <c r="E18" s="9">
        <v>105636.36</v>
      </c>
      <c r="F18" s="12">
        <f t="shared" ref="F18:F25" si="21">E18/B18</f>
        <v>26409.09</v>
      </c>
      <c r="J18" s="21">
        <f>J7+J12</f>
        <v>114968.04482142857</v>
      </c>
    </row>
    <row r="19" spans="1:24">
      <c r="A19" t="s">
        <v>56</v>
      </c>
      <c r="B19">
        <f>B5</f>
        <v>6</v>
      </c>
      <c r="C19">
        <f>C5</f>
        <v>6</v>
      </c>
      <c r="E19" s="9">
        <v>79510.59</v>
      </c>
      <c r="F19" s="12">
        <f t="shared" si="21"/>
        <v>13251.764999999999</v>
      </c>
      <c r="J19" s="23">
        <f>J5</f>
        <v>151013.99785714285</v>
      </c>
    </row>
    <row r="20" spans="1:24">
      <c r="A20" s="8" t="s">
        <v>57</v>
      </c>
      <c r="B20" s="8">
        <f>B21+B22</f>
        <v>21</v>
      </c>
      <c r="C20" s="8">
        <f>C21+C22</f>
        <v>21</v>
      </c>
      <c r="D20" s="8"/>
      <c r="E20" s="9">
        <f>E21+E22</f>
        <v>896281.03</v>
      </c>
      <c r="F20" s="12">
        <f t="shared" si="21"/>
        <v>42680.049047619046</v>
      </c>
      <c r="J20" s="22">
        <f>J21+J22</f>
        <v>603227.20392857143</v>
      </c>
      <c r="P20" t="s">
        <v>269</v>
      </c>
      <c r="X20" t="s">
        <v>270</v>
      </c>
    </row>
    <row r="21" spans="1:24">
      <c r="A21" t="s">
        <v>58</v>
      </c>
      <c r="B21">
        <f>B8</f>
        <v>20</v>
      </c>
      <c r="C21">
        <f>C8</f>
        <v>20</v>
      </c>
      <c r="E21" s="9">
        <v>679917.08</v>
      </c>
      <c r="F21" s="12">
        <f>E21/B21</f>
        <v>33995.853999999999</v>
      </c>
      <c r="J21" s="23">
        <f>J8</f>
        <v>573273.64821428573</v>
      </c>
      <c r="K21" s="2"/>
    </row>
    <row r="22" spans="1:24">
      <c r="A22" t="s">
        <v>59</v>
      </c>
      <c r="B22">
        <f>B11</f>
        <v>1</v>
      </c>
      <c r="C22">
        <f>C11</f>
        <v>1</v>
      </c>
      <c r="E22" s="9">
        <v>216363.95</v>
      </c>
      <c r="F22" s="12">
        <f t="shared" si="21"/>
        <v>216363.95</v>
      </c>
      <c r="J22" s="23">
        <f>J11</f>
        <v>29953.555714285718</v>
      </c>
    </row>
    <row r="23" spans="1:24">
      <c r="A23" s="8" t="s">
        <v>60</v>
      </c>
      <c r="B23" s="8">
        <f>B25+B24</f>
        <v>9</v>
      </c>
      <c r="C23" s="8">
        <f>C25+C24</f>
        <v>12</v>
      </c>
      <c r="D23" s="8"/>
      <c r="E23" s="9">
        <f>E24+E25</f>
        <v>139591.60999999999</v>
      </c>
      <c r="F23" s="12">
        <f t="shared" si="21"/>
        <v>15510.178888888888</v>
      </c>
      <c r="J23" s="22">
        <f>J25+J24</f>
        <v>321088.57500000001</v>
      </c>
    </row>
    <row r="24" spans="1:24">
      <c r="A24" t="s">
        <v>61</v>
      </c>
      <c r="B24">
        <f>B10+B3+B4+B6</f>
        <v>8</v>
      </c>
      <c r="C24">
        <f>C10+C3+C4+C6</f>
        <v>11</v>
      </c>
      <c r="E24" s="9">
        <v>124424.48</v>
      </c>
      <c r="F24" s="12">
        <f t="shared" si="21"/>
        <v>15553.06</v>
      </c>
      <c r="J24" s="23">
        <f>J10+J3+J4+J6</f>
        <v>293011.95750000002</v>
      </c>
    </row>
    <row r="25" spans="1:24">
      <c r="A25" t="s">
        <v>47</v>
      </c>
      <c r="B25">
        <f>B9</f>
        <v>1</v>
      </c>
      <c r="C25">
        <f>C9</f>
        <v>1</v>
      </c>
      <c r="E25" s="9">
        <v>15167.13</v>
      </c>
      <c r="F25" s="12">
        <f t="shared" si="21"/>
        <v>15167.13</v>
      </c>
      <c r="J25" s="23">
        <f>J9</f>
        <v>28076.6175</v>
      </c>
    </row>
    <row r="26" spans="1:24">
      <c r="A26" t="s">
        <v>50</v>
      </c>
      <c r="B26">
        <f>B17+B20+B23</f>
        <v>40</v>
      </c>
      <c r="C26">
        <f>C17+C20+C23</f>
        <v>43</v>
      </c>
      <c r="E26" s="24">
        <f>E17+E20+E23</f>
        <v>1221019.5899999999</v>
      </c>
      <c r="F26" s="12">
        <f>SUM(F16:F25)</f>
        <v>427971.26168650796</v>
      </c>
      <c r="J26" s="24">
        <f>J17+J20+J23</f>
        <v>1190297.8216071429</v>
      </c>
    </row>
    <row r="27" spans="1:24">
      <c r="J27" s="25">
        <f>E26-J26</f>
        <v>30721.768392856931</v>
      </c>
    </row>
  </sheetData>
  <pageMargins left="0.7" right="0.7" top="0.75" bottom="0.75" header="0.3" footer="0.3"/>
  <pageSetup paperSize="9" orientation="portrait" verticalDpi="0" r:id="rId1"/>
  <customProperties>
    <customPr name="EpmWorksheetKeyString_GU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K24"/>
  <sheetViews>
    <sheetView workbookViewId="0">
      <selection activeCell="M5" sqref="M5"/>
    </sheetView>
  </sheetViews>
  <sheetFormatPr defaultColWidth="8.7265625" defaultRowHeight="14.5"/>
  <cols>
    <col min="1" max="1" width="1.54296875" style="11" customWidth="1"/>
    <col min="2" max="2" width="100" style="11" customWidth="1"/>
    <col min="3" max="5" width="18" style="11" customWidth="1"/>
    <col min="6" max="6" width="15.81640625" style="11" bestFit="1" customWidth="1"/>
    <col min="7" max="8" width="11.81640625" style="256" customWidth="1"/>
    <col min="9" max="9" width="12.453125" style="256" bestFit="1" customWidth="1"/>
    <col min="10" max="10" width="13.7265625" style="11" customWidth="1"/>
    <col min="11" max="11" width="16.81640625" style="11" customWidth="1"/>
    <col min="12" max="16384" width="8.7265625" style="11"/>
  </cols>
  <sheetData>
    <row r="1" spans="2:11" ht="4" customHeight="1" thickBot="1"/>
    <row r="2" spans="2:11" ht="44" thickBot="1">
      <c r="B2" s="272" t="s">
        <v>285</v>
      </c>
      <c r="C2" s="273" t="s">
        <v>306</v>
      </c>
      <c r="D2" s="273" t="s">
        <v>307</v>
      </c>
      <c r="E2" s="273" t="s">
        <v>307</v>
      </c>
      <c r="F2" s="273" t="s">
        <v>310</v>
      </c>
      <c r="G2" s="513" t="s">
        <v>286</v>
      </c>
      <c r="H2" s="514"/>
      <c r="I2" s="515"/>
      <c r="J2" s="273" t="s">
        <v>287</v>
      </c>
      <c r="K2" s="273"/>
    </row>
    <row r="3" spans="2:11">
      <c r="B3" s="274"/>
      <c r="C3" s="516" t="s">
        <v>308</v>
      </c>
      <c r="D3" s="517"/>
      <c r="E3" s="284" t="s">
        <v>311</v>
      </c>
      <c r="F3" s="274" t="s">
        <v>309</v>
      </c>
      <c r="G3" s="320" t="s">
        <v>288</v>
      </c>
      <c r="H3" s="275" t="s">
        <v>289</v>
      </c>
      <c r="I3" s="321" t="s">
        <v>290</v>
      </c>
      <c r="J3" s="274"/>
      <c r="K3" s="274"/>
    </row>
    <row r="4" spans="2:11" ht="43.5">
      <c r="B4" s="276" t="s">
        <v>291</v>
      </c>
      <c r="C4" s="285">
        <v>1575.9</v>
      </c>
      <c r="D4" s="285">
        <f t="shared" ref="D4:D13" si="0">C4*14</f>
        <v>22062.600000000002</v>
      </c>
      <c r="E4" s="285">
        <f>D4*'Despeses Personal 2023'!AA10</f>
        <v>22062.600000000002</v>
      </c>
      <c r="F4" s="287">
        <f>'Despeses Personal 2023'!F10</f>
        <v>23786.6</v>
      </c>
      <c r="G4" s="322">
        <v>1</v>
      </c>
      <c r="H4" s="277">
        <v>1</v>
      </c>
      <c r="I4" s="323">
        <v>2</v>
      </c>
      <c r="J4" s="278"/>
      <c r="K4" s="319" t="s">
        <v>319</v>
      </c>
    </row>
    <row r="5" spans="2:11" ht="43.5">
      <c r="B5" s="276" t="s">
        <v>292</v>
      </c>
      <c r="C5" s="285">
        <v>1575.9</v>
      </c>
      <c r="D5" s="285">
        <f t="shared" si="0"/>
        <v>22062.600000000002</v>
      </c>
      <c r="E5" s="285">
        <f>D5*'Despeses Personal 2023'!AA11</f>
        <v>22062.600000000002</v>
      </c>
      <c r="F5" s="287">
        <f>'Despeses Personal 2023'!F11</f>
        <v>22275.72</v>
      </c>
      <c r="G5" s="322">
        <v>1</v>
      </c>
      <c r="H5" s="277">
        <v>1</v>
      </c>
      <c r="I5" s="324">
        <v>1</v>
      </c>
      <c r="J5" s="278"/>
      <c r="K5" s="278" t="s">
        <v>320</v>
      </c>
    </row>
    <row r="6" spans="2:11" ht="43.5">
      <c r="B6" s="276" t="s">
        <v>293</v>
      </c>
      <c r="C6" s="285">
        <v>1517.83</v>
      </c>
      <c r="D6" s="285">
        <f t="shared" si="0"/>
        <v>21249.62</v>
      </c>
      <c r="E6" s="285">
        <f>D6*'Despeses Personal 2023'!AA4</f>
        <v>21249.62</v>
      </c>
      <c r="F6" s="287">
        <f>'Despeses Personal 2023'!F3</f>
        <v>22275.72</v>
      </c>
      <c r="G6" s="322">
        <v>1</v>
      </c>
      <c r="H6" s="277">
        <v>1</v>
      </c>
      <c r="I6" s="323">
        <v>2</v>
      </c>
      <c r="J6" s="278"/>
      <c r="K6" s="278" t="s">
        <v>321</v>
      </c>
    </row>
    <row r="7" spans="2:11" ht="43.5">
      <c r="B7" s="276" t="s">
        <v>294</v>
      </c>
      <c r="C7" s="285">
        <v>1517.83</v>
      </c>
      <c r="D7" s="285">
        <f t="shared" si="0"/>
        <v>21249.62</v>
      </c>
      <c r="E7" s="285">
        <f>D7*'Despeses Personal 2023'!AA7</f>
        <v>21249.62</v>
      </c>
      <c r="F7" s="287">
        <f>'Despeses Personal 2023'!F7</f>
        <v>24515.370000000003</v>
      </c>
      <c r="G7" s="322">
        <v>2</v>
      </c>
      <c r="H7" s="277">
        <v>2</v>
      </c>
      <c r="I7" s="324">
        <v>2</v>
      </c>
      <c r="J7" s="278"/>
      <c r="K7" s="278" t="s">
        <v>322</v>
      </c>
    </row>
    <row r="8" spans="2:11" ht="43.5">
      <c r="B8" s="276" t="s">
        <v>295</v>
      </c>
      <c r="C8" s="285">
        <v>1517.83</v>
      </c>
      <c r="D8" s="285">
        <f t="shared" si="0"/>
        <v>21249.62</v>
      </c>
      <c r="E8" s="285">
        <f>D8*'Despeses Personal 2023'!AA8</f>
        <v>21249.62</v>
      </c>
      <c r="F8" s="287">
        <f>'Despeses Personal 2023'!F8</f>
        <v>21797.173750000005</v>
      </c>
      <c r="G8" s="322">
        <v>20</v>
      </c>
      <c r="H8" s="279">
        <v>16</v>
      </c>
      <c r="I8" s="325">
        <v>20</v>
      </c>
      <c r="J8" s="278"/>
      <c r="K8" s="278" t="s">
        <v>323</v>
      </c>
    </row>
    <row r="9" spans="2:11" ht="43.5">
      <c r="B9" s="276" t="s">
        <v>296</v>
      </c>
      <c r="C9" s="285">
        <v>1517.83</v>
      </c>
      <c r="D9" s="285">
        <f t="shared" si="0"/>
        <v>21249.62</v>
      </c>
      <c r="E9" s="285">
        <f>D9*'Despeses Personal 2023'!AA9</f>
        <v>21249.62</v>
      </c>
      <c r="F9" s="287">
        <f>'Despeses Personal 2023'!F9</f>
        <v>25999.94</v>
      </c>
      <c r="G9" s="322">
        <v>1</v>
      </c>
      <c r="H9" s="277">
        <v>1</v>
      </c>
      <c r="I9" s="324">
        <v>1</v>
      </c>
      <c r="J9" s="278"/>
      <c r="K9" s="278" t="s">
        <v>207</v>
      </c>
    </row>
    <row r="10" spans="2:11" ht="58">
      <c r="B10" s="276" t="s">
        <v>297</v>
      </c>
      <c r="C10" s="285">
        <v>1404.93</v>
      </c>
      <c r="D10" s="285">
        <f t="shared" si="0"/>
        <v>19669.02</v>
      </c>
      <c r="E10" s="285">
        <f>D10*'Despeses Personal 2023'!AA4</f>
        <v>19669.02</v>
      </c>
      <c r="F10" s="287">
        <f>'Despeses Personal 2023'!F4</f>
        <v>19830.419999999998</v>
      </c>
      <c r="G10" s="322">
        <v>2</v>
      </c>
      <c r="H10" s="277">
        <v>2</v>
      </c>
      <c r="I10" s="323">
        <v>4</v>
      </c>
      <c r="J10" s="278"/>
      <c r="K10" s="278" t="s">
        <v>324</v>
      </c>
    </row>
    <row r="11" spans="2:11" ht="58">
      <c r="B11" s="276" t="s">
        <v>298</v>
      </c>
      <c r="C11" s="285">
        <v>1404.93</v>
      </c>
      <c r="D11" s="285">
        <f t="shared" si="0"/>
        <v>19669.02</v>
      </c>
      <c r="E11" s="285">
        <f>D11*'Despeses Personal 2023'!AA5</f>
        <v>18029.935000000001</v>
      </c>
      <c r="F11" s="287">
        <f>'Despeses Personal 2023'!F5</f>
        <v>18225.780000000002</v>
      </c>
      <c r="G11" s="322">
        <v>6</v>
      </c>
      <c r="H11" s="277">
        <v>6</v>
      </c>
      <c r="I11" s="324">
        <v>6</v>
      </c>
      <c r="J11" s="278"/>
      <c r="K11" s="278" t="s">
        <v>325</v>
      </c>
    </row>
    <row r="12" spans="2:11" ht="29">
      <c r="B12" s="276" t="s">
        <v>299</v>
      </c>
      <c r="C12" s="285">
        <v>1378.54</v>
      </c>
      <c r="D12" s="285">
        <f t="shared" si="0"/>
        <v>19299.559999999998</v>
      </c>
      <c r="E12" s="285">
        <f>D12*'Despeses Personal 2023'!AA6</f>
        <v>16887.114999999998</v>
      </c>
      <c r="F12" s="287">
        <f>'Despeses Personal 2023'!F6</f>
        <v>17423.53</v>
      </c>
      <c r="G12" s="322">
        <v>4</v>
      </c>
      <c r="H12" s="279">
        <v>2</v>
      </c>
      <c r="I12" s="325">
        <v>4</v>
      </c>
      <c r="J12" s="278"/>
      <c r="K12" s="278" t="s">
        <v>326</v>
      </c>
    </row>
    <row r="13" spans="2:11" ht="29">
      <c r="B13" s="276" t="s">
        <v>300</v>
      </c>
      <c r="C13" s="285">
        <v>1378.54</v>
      </c>
      <c r="D13" s="285">
        <f t="shared" si="0"/>
        <v>19299.559999999998</v>
      </c>
      <c r="E13" s="285">
        <f>D13*'Despeses Personal 2023'!AA12</f>
        <v>19299.559999999998</v>
      </c>
      <c r="F13" s="287">
        <f>'Despeses Personal 2023'!F12</f>
        <v>19460.96</v>
      </c>
      <c r="G13" s="322">
        <v>2</v>
      </c>
      <c r="H13" s="279">
        <v>1</v>
      </c>
      <c r="I13" s="325">
        <v>2</v>
      </c>
      <c r="J13" s="278"/>
      <c r="K13" s="278" t="s">
        <v>327</v>
      </c>
    </row>
    <row r="14" spans="2:11" ht="15" thickBot="1">
      <c r="B14" s="280" t="s">
        <v>104</v>
      </c>
      <c r="C14" s="286">
        <f t="shared" ref="C14:I14" si="1">SUM(C4:C13)</f>
        <v>14790.060000000001</v>
      </c>
      <c r="D14" s="286">
        <f t="shared" si="1"/>
        <v>207060.83999999997</v>
      </c>
      <c r="E14" s="286">
        <f t="shared" si="1"/>
        <v>203009.30999999997</v>
      </c>
      <c r="F14" s="288">
        <f t="shared" si="1"/>
        <v>215591.21374999997</v>
      </c>
      <c r="G14" s="326">
        <f t="shared" si="1"/>
        <v>40</v>
      </c>
      <c r="H14" s="281">
        <f t="shared" si="1"/>
        <v>33</v>
      </c>
      <c r="I14" s="327">
        <f t="shared" si="1"/>
        <v>44</v>
      </c>
      <c r="J14" s="282"/>
      <c r="K14" s="282"/>
    </row>
    <row r="18" spans="2:9" ht="29">
      <c r="B18" s="283" t="s">
        <v>301</v>
      </c>
      <c r="C18" s="283"/>
      <c r="D18" s="283"/>
      <c r="E18" s="283"/>
      <c r="F18" s="283"/>
      <c r="G18" s="11"/>
      <c r="H18" s="11"/>
      <c r="I18" s="11"/>
    </row>
    <row r="19" spans="2:9">
      <c r="B19" s="283" t="s">
        <v>302</v>
      </c>
      <c r="C19" s="283"/>
      <c r="D19" s="283"/>
      <c r="E19" s="283"/>
      <c r="F19" s="283"/>
      <c r="G19" s="11"/>
      <c r="H19" s="11"/>
      <c r="I19" s="11"/>
    </row>
    <row r="20" spans="2:9">
      <c r="B20" s="283" t="s">
        <v>303</v>
      </c>
      <c r="C20" s="283"/>
      <c r="D20" s="283"/>
      <c r="E20" s="283"/>
      <c r="F20" s="283"/>
      <c r="G20" s="11"/>
      <c r="H20" s="11"/>
      <c r="I20" s="11"/>
    </row>
    <row r="23" spans="2:9">
      <c r="B23" s="11" t="s">
        <v>304</v>
      </c>
      <c r="G23" s="11"/>
      <c r="H23" s="11"/>
      <c r="I23" s="11"/>
    </row>
    <row r="24" spans="2:9">
      <c r="B24" t="s">
        <v>305</v>
      </c>
      <c r="G24" s="11"/>
      <c r="H24" s="11"/>
      <c r="I24" s="11"/>
    </row>
  </sheetData>
  <mergeCells count="2">
    <mergeCell ref="G2:I2"/>
    <mergeCell ref="C3:D3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60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4"/>
  <sheetViews>
    <sheetView topLeftCell="A19" workbookViewId="0">
      <selection activeCell="A50" sqref="A50"/>
    </sheetView>
  </sheetViews>
  <sheetFormatPr defaultColWidth="8.7265625" defaultRowHeight="14.5"/>
  <cols>
    <col min="1" max="1" width="2.81640625" style="246" bestFit="1" customWidth="1"/>
    <col min="2" max="2" width="8.453125" style="246" bestFit="1" customWidth="1"/>
    <col min="3" max="3" width="8.453125" style="246" customWidth="1"/>
    <col min="4" max="4" width="10.453125" style="246" bestFit="1" customWidth="1"/>
    <col min="5" max="5" width="10.453125" style="246" customWidth="1"/>
    <col min="6" max="6" width="8.7265625" style="246"/>
    <col min="7" max="7" width="9.54296875" style="246" customWidth="1"/>
    <col min="8" max="8" width="10.453125" style="11" customWidth="1"/>
    <col min="9" max="9" width="10.453125" style="246" customWidth="1"/>
    <col min="10" max="10" width="19.453125" style="11" bestFit="1" customWidth="1"/>
    <col min="11" max="11" width="12.54296875" style="246" bestFit="1" customWidth="1"/>
    <col min="12" max="12" width="14.7265625" style="246" bestFit="1" customWidth="1"/>
    <col min="13" max="13" width="13.1796875" style="246" bestFit="1" customWidth="1"/>
    <col min="14" max="14" width="14.26953125" style="246" bestFit="1" customWidth="1"/>
    <col min="15" max="15" width="17.26953125" style="246" customWidth="1"/>
    <col min="16" max="16" width="14.26953125" style="246" bestFit="1" customWidth="1"/>
    <col min="17" max="17" width="11.81640625" style="246" bestFit="1" customWidth="1"/>
    <col min="18" max="18" width="8.7265625" style="246"/>
    <col min="19" max="19" width="12.453125" style="246" customWidth="1"/>
    <col min="20" max="16384" width="8.7265625" style="246"/>
  </cols>
  <sheetData>
    <row r="1" spans="1:19">
      <c r="D1" s="250"/>
      <c r="E1" s="250"/>
      <c r="F1" s="250"/>
      <c r="G1" s="250"/>
      <c r="H1" s="256"/>
      <c r="I1" s="250"/>
      <c r="L1" s="251"/>
      <c r="M1" s="99">
        <v>0.32500000000000001</v>
      </c>
      <c r="Q1" s="252">
        <v>45226</v>
      </c>
      <c r="S1" s="246">
        <v>0</v>
      </c>
    </row>
    <row r="2" spans="1:19" ht="43.5">
      <c r="B2" s="253" t="s">
        <v>0</v>
      </c>
      <c r="C2" s="265" t="s">
        <v>275</v>
      </c>
      <c r="D2" s="254" t="s">
        <v>1</v>
      </c>
      <c r="E2" s="254" t="s">
        <v>279</v>
      </c>
      <c r="F2" s="254" t="s">
        <v>2</v>
      </c>
      <c r="G2" s="254" t="s">
        <v>3</v>
      </c>
      <c r="H2" s="257" t="s">
        <v>4</v>
      </c>
      <c r="I2" s="266" t="s">
        <v>271</v>
      </c>
      <c r="J2" s="249" t="s">
        <v>5</v>
      </c>
      <c r="K2" s="253" t="s">
        <v>6</v>
      </c>
      <c r="L2" s="253" t="s">
        <v>7</v>
      </c>
      <c r="M2" s="253" t="s">
        <v>63</v>
      </c>
      <c r="N2" s="253" t="s">
        <v>66</v>
      </c>
      <c r="O2" s="253" t="s">
        <v>64</v>
      </c>
      <c r="P2" s="253" t="s">
        <v>65</v>
      </c>
      <c r="Q2" s="253" t="s">
        <v>68</v>
      </c>
      <c r="R2" s="253" t="s">
        <v>67</v>
      </c>
      <c r="S2" s="253" t="s">
        <v>69</v>
      </c>
    </row>
    <row r="3" spans="1:19" s="289" customFormat="1">
      <c r="A3" s="289">
        <v>3</v>
      </c>
      <c r="B3" s="149" t="s">
        <v>8</v>
      </c>
      <c r="C3" s="149" t="s">
        <v>274</v>
      </c>
      <c r="D3" s="290">
        <v>41944</v>
      </c>
      <c r="E3" s="290"/>
      <c r="F3" s="291">
        <v>100</v>
      </c>
      <c r="G3" s="292">
        <v>40</v>
      </c>
      <c r="H3" s="292">
        <f t="shared" ref="H3:H34" si="0">G3/40*100</f>
        <v>100</v>
      </c>
      <c r="I3" s="292" t="s">
        <v>273</v>
      </c>
      <c r="J3" s="149" t="s">
        <v>9</v>
      </c>
      <c r="K3" s="149" t="s">
        <v>10</v>
      </c>
      <c r="L3" s="296">
        <v>22275.72</v>
      </c>
      <c r="M3" s="294">
        <f t="shared" ref="M3:M34" si="1">L3*$M$1</f>
        <v>7239.6090000000004</v>
      </c>
      <c r="N3" s="294">
        <f t="shared" ref="N3:N34" si="2">L3+M3</f>
        <v>29515.329000000002</v>
      </c>
      <c r="O3" s="294">
        <f t="shared" ref="O3:O34" si="3">N3/14</f>
        <v>2108.237785714286</v>
      </c>
      <c r="P3" s="294">
        <f t="shared" ref="P3:P34" si="4">N3+O3</f>
        <v>31623.566785714287</v>
      </c>
      <c r="Q3" s="295">
        <f t="shared" ref="Q3:Q34" si="5">(($Q$1-D3)/365)/3</f>
        <v>2.9972602739726031</v>
      </c>
      <c r="R3" s="295">
        <f t="shared" ref="R3:R34" si="6">INT(Q3)</f>
        <v>2</v>
      </c>
      <c r="S3" s="295">
        <f t="shared" ref="S3:S34" si="7">R3*$S$1</f>
        <v>0</v>
      </c>
    </row>
    <row r="4" spans="1:19" s="297" customFormat="1">
      <c r="A4" s="289">
        <v>21</v>
      </c>
      <c r="B4" s="149" t="s">
        <v>11</v>
      </c>
      <c r="C4" s="149" t="s">
        <v>274</v>
      </c>
      <c r="D4" s="290">
        <v>44737</v>
      </c>
      <c r="E4" s="290"/>
      <c r="F4" s="291">
        <v>100</v>
      </c>
      <c r="G4" s="292">
        <v>40</v>
      </c>
      <c r="H4" s="292">
        <f t="shared" si="0"/>
        <v>100</v>
      </c>
      <c r="I4" s="292" t="s">
        <v>273</v>
      </c>
      <c r="J4" s="149" t="s">
        <v>51</v>
      </c>
      <c r="K4" s="149" t="s">
        <v>10</v>
      </c>
      <c r="L4" s="296">
        <v>19830.419999999998</v>
      </c>
      <c r="M4" s="294">
        <f t="shared" si="1"/>
        <v>6444.8864999999996</v>
      </c>
      <c r="N4" s="294">
        <f t="shared" si="2"/>
        <v>26275.306499999999</v>
      </c>
      <c r="O4" s="294">
        <f t="shared" si="3"/>
        <v>1876.807607142857</v>
      </c>
      <c r="P4" s="294">
        <f t="shared" si="4"/>
        <v>28152.114107142857</v>
      </c>
      <c r="Q4" s="295">
        <f t="shared" si="5"/>
        <v>0.44657534246575342</v>
      </c>
      <c r="R4" s="295">
        <f t="shared" si="6"/>
        <v>0</v>
      </c>
      <c r="S4" s="295">
        <f t="shared" si="7"/>
        <v>0</v>
      </c>
    </row>
    <row r="5" spans="1:19" s="289" customFormat="1">
      <c r="A5" s="289">
        <v>22</v>
      </c>
      <c r="B5" s="149" t="s">
        <v>12</v>
      </c>
      <c r="C5" s="149" t="s">
        <v>274</v>
      </c>
      <c r="D5" s="290">
        <v>44514</v>
      </c>
      <c r="E5" s="290"/>
      <c r="F5" s="291">
        <v>100</v>
      </c>
      <c r="G5" s="292">
        <v>40</v>
      </c>
      <c r="H5" s="292">
        <f t="shared" si="0"/>
        <v>100</v>
      </c>
      <c r="I5" s="292" t="s">
        <v>273</v>
      </c>
      <c r="J5" s="149" t="s">
        <v>51</v>
      </c>
      <c r="K5" s="149" t="s">
        <v>10</v>
      </c>
      <c r="L5" s="296">
        <v>19830.419999999998</v>
      </c>
      <c r="M5" s="294">
        <f t="shared" si="1"/>
        <v>6444.8864999999996</v>
      </c>
      <c r="N5" s="294">
        <f t="shared" si="2"/>
        <v>26275.306499999999</v>
      </c>
      <c r="O5" s="294">
        <f t="shared" si="3"/>
        <v>1876.807607142857</v>
      </c>
      <c r="P5" s="294">
        <f t="shared" si="4"/>
        <v>28152.114107142857</v>
      </c>
      <c r="Q5" s="295">
        <f t="shared" si="5"/>
        <v>0.65022831050228314</v>
      </c>
      <c r="R5" s="295">
        <f t="shared" si="6"/>
        <v>0</v>
      </c>
      <c r="S5" s="295">
        <f t="shared" si="7"/>
        <v>0</v>
      </c>
    </row>
    <row r="6" spans="1:19" s="309" customFormat="1">
      <c r="A6" s="301"/>
      <c r="B6" s="302" t="s">
        <v>11</v>
      </c>
      <c r="C6" s="302"/>
      <c r="D6" s="303">
        <v>44546</v>
      </c>
      <c r="E6" s="303"/>
      <c r="F6" s="304">
        <v>502</v>
      </c>
      <c r="G6" s="305">
        <v>39</v>
      </c>
      <c r="H6" s="305">
        <f t="shared" si="0"/>
        <v>97.5</v>
      </c>
      <c r="I6" s="305"/>
      <c r="J6" s="302" t="s">
        <v>51</v>
      </c>
      <c r="K6" s="302" t="s">
        <v>10</v>
      </c>
      <c r="L6" s="306">
        <v>18317.46</v>
      </c>
      <c r="M6" s="307">
        <f t="shared" si="1"/>
        <v>5953.1745000000001</v>
      </c>
      <c r="N6" s="307">
        <f t="shared" si="2"/>
        <v>24270.6345</v>
      </c>
      <c r="O6" s="307">
        <f t="shared" si="3"/>
        <v>1733.6167499999999</v>
      </c>
      <c r="P6" s="307">
        <f t="shared" si="4"/>
        <v>26004.251250000001</v>
      </c>
      <c r="Q6" s="308">
        <f t="shared" si="5"/>
        <v>0.62100456621004563</v>
      </c>
      <c r="R6" s="308">
        <f t="shared" si="6"/>
        <v>0</v>
      </c>
      <c r="S6" s="308">
        <f t="shared" si="7"/>
        <v>0</v>
      </c>
    </row>
    <row r="7" spans="1:19" s="301" customFormat="1">
      <c r="B7" s="302" t="s">
        <v>12</v>
      </c>
      <c r="C7" s="302"/>
      <c r="D7" s="303">
        <v>44581</v>
      </c>
      <c r="E7" s="303"/>
      <c r="F7" s="304">
        <v>501</v>
      </c>
      <c r="G7" s="305">
        <v>39</v>
      </c>
      <c r="H7" s="305">
        <f t="shared" si="0"/>
        <v>97.5</v>
      </c>
      <c r="I7" s="305"/>
      <c r="J7" s="302" t="s">
        <v>51</v>
      </c>
      <c r="K7" s="302" t="s">
        <v>10</v>
      </c>
      <c r="L7" s="306">
        <v>18317.46</v>
      </c>
      <c r="M7" s="307">
        <f t="shared" si="1"/>
        <v>5953.1745000000001</v>
      </c>
      <c r="N7" s="307">
        <f t="shared" si="2"/>
        <v>24270.6345</v>
      </c>
      <c r="O7" s="307">
        <f t="shared" si="3"/>
        <v>1733.6167499999999</v>
      </c>
      <c r="P7" s="307">
        <f t="shared" si="4"/>
        <v>26004.251250000001</v>
      </c>
      <c r="Q7" s="308">
        <f t="shared" si="5"/>
        <v>0.58904109589041098</v>
      </c>
      <c r="R7" s="308">
        <f t="shared" si="6"/>
        <v>0</v>
      </c>
      <c r="S7" s="308">
        <f t="shared" si="7"/>
        <v>0</v>
      </c>
    </row>
    <row r="8" spans="1:19" s="289" customFormat="1">
      <c r="A8" s="289">
        <v>9</v>
      </c>
      <c r="B8" s="149" t="s">
        <v>13</v>
      </c>
      <c r="C8" s="149" t="s">
        <v>276</v>
      </c>
      <c r="D8" s="290">
        <v>42911</v>
      </c>
      <c r="E8" s="290"/>
      <c r="F8" s="291">
        <v>100</v>
      </c>
      <c r="G8" s="292">
        <v>40</v>
      </c>
      <c r="H8" s="292">
        <f t="shared" si="0"/>
        <v>100</v>
      </c>
      <c r="I8" s="292" t="s">
        <v>273</v>
      </c>
      <c r="J8" s="149" t="s">
        <v>44</v>
      </c>
      <c r="K8" s="149" t="s">
        <v>10</v>
      </c>
      <c r="L8" s="296">
        <v>19882.14</v>
      </c>
      <c r="M8" s="294">
        <f t="shared" si="1"/>
        <v>6461.6954999999998</v>
      </c>
      <c r="N8" s="294">
        <f t="shared" si="2"/>
        <v>26343.835500000001</v>
      </c>
      <c r="O8" s="294">
        <f t="shared" si="3"/>
        <v>1881.7025357142859</v>
      </c>
      <c r="P8" s="294">
        <f t="shared" si="4"/>
        <v>28225.538035714286</v>
      </c>
      <c r="Q8" s="295">
        <f t="shared" si="5"/>
        <v>2.1141552511415527</v>
      </c>
      <c r="R8" s="295">
        <f t="shared" si="6"/>
        <v>2</v>
      </c>
      <c r="S8" s="295">
        <f t="shared" si="7"/>
        <v>0</v>
      </c>
    </row>
    <row r="9" spans="1:19" s="289" customFormat="1">
      <c r="A9" s="289">
        <v>12</v>
      </c>
      <c r="B9" s="149" t="s">
        <v>15</v>
      </c>
      <c r="C9" s="149" t="s">
        <v>276</v>
      </c>
      <c r="D9" s="290">
        <v>43017</v>
      </c>
      <c r="E9" s="290"/>
      <c r="F9" s="291">
        <v>289</v>
      </c>
      <c r="G9" s="292">
        <v>35</v>
      </c>
      <c r="H9" s="292">
        <f t="shared" si="0"/>
        <v>87.5</v>
      </c>
      <c r="I9" s="292" t="s">
        <v>272</v>
      </c>
      <c r="J9" s="149" t="s">
        <v>44</v>
      </c>
      <c r="K9" s="149" t="s">
        <v>10</v>
      </c>
      <c r="L9" s="296">
        <v>17423.46</v>
      </c>
      <c r="M9" s="294">
        <f t="shared" si="1"/>
        <v>5662.6244999999999</v>
      </c>
      <c r="N9" s="294">
        <f t="shared" si="2"/>
        <v>23086.084499999997</v>
      </c>
      <c r="O9" s="294">
        <f t="shared" si="3"/>
        <v>1649.0060357142854</v>
      </c>
      <c r="P9" s="294">
        <f t="shared" si="4"/>
        <v>24735.090535714284</v>
      </c>
      <c r="Q9" s="295">
        <f t="shared" si="5"/>
        <v>2.0173515981735162</v>
      </c>
      <c r="R9" s="295">
        <f t="shared" si="6"/>
        <v>2</v>
      </c>
      <c r="S9" s="295">
        <f t="shared" si="7"/>
        <v>0</v>
      </c>
    </row>
    <row r="10" spans="1:19" s="297" customFormat="1">
      <c r="A10" s="289">
        <v>20</v>
      </c>
      <c r="B10" s="149" t="s">
        <v>17</v>
      </c>
      <c r="C10" s="149" t="s">
        <v>276</v>
      </c>
      <c r="D10" s="290">
        <v>44415</v>
      </c>
      <c r="E10" s="290"/>
      <c r="F10" s="291">
        <v>100</v>
      </c>
      <c r="G10" s="292">
        <v>40</v>
      </c>
      <c r="H10" s="292">
        <f t="shared" si="0"/>
        <v>100</v>
      </c>
      <c r="I10" s="292" t="s">
        <v>273</v>
      </c>
      <c r="J10" s="149" t="s">
        <v>44</v>
      </c>
      <c r="K10" s="149" t="s">
        <v>10</v>
      </c>
      <c r="L10" s="296">
        <v>19830.419999999998</v>
      </c>
      <c r="M10" s="294">
        <f t="shared" si="1"/>
        <v>6444.8864999999996</v>
      </c>
      <c r="N10" s="294">
        <f t="shared" si="2"/>
        <v>26275.306499999999</v>
      </c>
      <c r="O10" s="294">
        <f t="shared" si="3"/>
        <v>1876.807607142857</v>
      </c>
      <c r="P10" s="294">
        <f t="shared" si="4"/>
        <v>28152.114107142857</v>
      </c>
      <c r="Q10" s="295">
        <f t="shared" si="5"/>
        <v>0.74063926940639269</v>
      </c>
      <c r="R10" s="295">
        <f t="shared" si="6"/>
        <v>0</v>
      </c>
      <c r="S10" s="295">
        <f t="shared" si="7"/>
        <v>0</v>
      </c>
    </row>
    <row r="11" spans="1:19" s="289" customFormat="1">
      <c r="A11" s="289">
        <v>31</v>
      </c>
      <c r="B11" s="149" t="str">
        <f>+[1]PAlleja!C8</f>
        <v>PLE</v>
      </c>
      <c r="C11" s="149" t="s">
        <v>274</v>
      </c>
      <c r="D11" s="290">
        <f>+[1]PAlleja!H8</f>
        <v>41652</v>
      </c>
      <c r="E11" s="290"/>
      <c r="F11" s="291">
        <f>+[1]PAlleja!D8</f>
        <v>200</v>
      </c>
      <c r="G11" s="292">
        <f>+[1]PAlleja!Z8</f>
        <v>35</v>
      </c>
      <c r="H11" s="292">
        <f t="shared" si="0"/>
        <v>87.5</v>
      </c>
      <c r="I11" s="292" t="s">
        <v>272</v>
      </c>
      <c r="J11" s="149" t="str">
        <f>+[1]PAlleja!V8</f>
        <v>AUX.COLECTIVIDADES</v>
      </c>
      <c r="K11" s="149" t="str">
        <f>+[1]PAlleja!S8</f>
        <v>CE Rest Colect</v>
      </c>
      <c r="L11" s="296">
        <v>17423.46</v>
      </c>
      <c r="M11" s="294">
        <f t="shared" si="1"/>
        <v>5662.6244999999999</v>
      </c>
      <c r="N11" s="294">
        <f t="shared" si="2"/>
        <v>23086.084499999997</v>
      </c>
      <c r="O11" s="294">
        <f t="shared" si="3"/>
        <v>1649.0060357142854</v>
      </c>
      <c r="P11" s="294">
        <f t="shared" si="4"/>
        <v>24735.090535714284</v>
      </c>
      <c r="Q11" s="295">
        <f t="shared" si="5"/>
        <v>3.2639269406392692</v>
      </c>
      <c r="R11" s="295">
        <f t="shared" si="6"/>
        <v>3</v>
      </c>
      <c r="S11" s="295">
        <f t="shared" si="7"/>
        <v>0</v>
      </c>
    </row>
    <row r="12" spans="1:19" s="289" customFormat="1">
      <c r="A12" s="289">
        <v>32</v>
      </c>
      <c r="B12" s="149" t="s">
        <v>313</v>
      </c>
      <c r="C12" s="149" t="s">
        <v>274</v>
      </c>
      <c r="D12" s="290">
        <v>42947</v>
      </c>
      <c r="E12" s="290"/>
      <c r="F12" s="291">
        <v>200</v>
      </c>
      <c r="G12" s="292">
        <v>35</v>
      </c>
      <c r="H12" s="292">
        <f t="shared" si="0"/>
        <v>87.5</v>
      </c>
      <c r="I12" s="292" t="s">
        <v>272</v>
      </c>
      <c r="J12" s="149" t="s">
        <v>44</v>
      </c>
      <c r="K12" s="149" t="s">
        <v>10</v>
      </c>
      <c r="L12" s="296">
        <v>17423.46</v>
      </c>
      <c r="M12" s="294">
        <f t="shared" si="1"/>
        <v>5662.6244999999999</v>
      </c>
      <c r="N12" s="294">
        <f t="shared" si="2"/>
        <v>23086.084499999997</v>
      </c>
      <c r="O12" s="294">
        <f t="shared" si="3"/>
        <v>1649.0060357142854</v>
      </c>
      <c r="P12" s="294">
        <f t="shared" si="4"/>
        <v>24735.090535714284</v>
      </c>
      <c r="Q12" s="295">
        <f t="shared" si="5"/>
        <v>2.0812785388127852</v>
      </c>
      <c r="R12" s="295">
        <f t="shared" si="6"/>
        <v>2</v>
      </c>
      <c r="S12" s="295">
        <f t="shared" si="7"/>
        <v>0</v>
      </c>
    </row>
    <row r="13" spans="1:19" s="289" customFormat="1">
      <c r="A13" s="289">
        <v>33</v>
      </c>
      <c r="B13" s="149" t="s">
        <v>314</v>
      </c>
      <c r="C13" s="149" t="s">
        <v>274</v>
      </c>
      <c r="D13" s="290">
        <v>44105</v>
      </c>
      <c r="E13" s="290"/>
      <c r="F13" s="291">
        <v>289</v>
      </c>
      <c r="G13" s="292">
        <v>35</v>
      </c>
      <c r="H13" s="292">
        <f t="shared" si="0"/>
        <v>87.5</v>
      </c>
      <c r="I13" s="292" t="s">
        <v>272</v>
      </c>
      <c r="J13" s="149" t="s">
        <v>44</v>
      </c>
      <c r="K13" s="149" t="s">
        <v>10</v>
      </c>
      <c r="L13" s="296">
        <v>17371.740000000002</v>
      </c>
      <c r="M13" s="294">
        <f t="shared" si="1"/>
        <v>5645.8155000000006</v>
      </c>
      <c r="N13" s="294">
        <f t="shared" si="2"/>
        <v>23017.555500000002</v>
      </c>
      <c r="O13" s="294">
        <f t="shared" si="3"/>
        <v>1644.1111071428572</v>
      </c>
      <c r="P13" s="294">
        <f t="shared" si="4"/>
        <v>24661.666607142859</v>
      </c>
      <c r="Q13" s="295">
        <f t="shared" si="5"/>
        <v>1.0237442922374429</v>
      </c>
      <c r="R13" s="295">
        <f t="shared" si="6"/>
        <v>1</v>
      </c>
      <c r="S13" s="295">
        <f t="shared" si="7"/>
        <v>0</v>
      </c>
    </row>
    <row r="14" spans="1:19" s="301" customFormat="1">
      <c r="B14" s="302" t="s">
        <v>14</v>
      </c>
      <c r="C14" s="302"/>
      <c r="D14" s="303">
        <v>42933</v>
      </c>
      <c r="E14" s="303"/>
      <c r="F14" s="304">
        <v>289</v>
      </c>
      <c r="G14" s="305">
        <v>39</v>
      </c>
      <c r="H14" s="305">
        <f t="shared" si="0"/>
        <v>97.5</v>
      </c>
      <c r="I14" s="305"/>
      <c r="J14" s="302" t="s">
        <v>44</v>
      </c>
      <c r="K14" s="302" t="s">
        <v>10</v>
      </c>
      <c r="L14" s="306">
        <v>18366.419999999998</v>
      </c>
      <c r="M14" s="307">
        <f t="shared" si="1"/>
        <v>5969.0864999999994</v>
      </c>
      <c r="N14" s="307">
        <f t="shared" si="2"/>
        <v>24335.506499999996</v>
      </c>
      <c r="O14" s="307">
        <f t="shared" si="3"/>
        <v>1738.2504642857141</v>
      </c>
      <c r="P14" s="307">
        <f t="shared" si="4"/>
        <v>26073.756964285709</v>
      </c>
      <c r="Q14" s="308">
        <f t="shared" si="5"/>
        <v>2.0940639269406391</v>
      </c>
      <c r="R14" s="308">
        <f t="shared" si="6"/>
        <v>2</v>
      </c>
      <c r="S14" s="308">
        <f t="shared" si="7"/>
        <v>0</v>
      </c>
    </row>
    <row r="15" spans="1:19" s="301" customFormat="1">
      <c r="B15" s="302" t="s">
        <v>16</v>
      </c>
      <c r="C15" s="302"/>
      <c r="D15" s="303">
        <v>43720</v>
      </c>
      <c r="E15" s="303"/>
      <c r="F15" s="304">
        <v>300</v>
      </c>
      <c r="G15" s="305">
        <v>39</v>
      </c>
      <c r="H15" s="305">
        <f t="shared" si="0"/>
        <v>97.5</v>
      </c>
      <c r="I15" s="305"/>
      <c r="J15" s="302" t="s">
        <v>44</v>
      </c>
      <c r="K15" s="302" t="s">
        <v>10</v>
      </c>
      <c r="L15" s="306">
        <v>18317.46</v>
      </c>
      <c r="M15" s="307">
        <f t="shared" si="1"/>
        <v>5953.1745000000001</v>
      </c>
      <c r="N15" s="307">
        <f t="shared" si="2"/>
        <v>24270.6345</v>
      </c>
      <c r="O15" s="307">
        <f t="shared" si="3"/>
        <v>1733.6167499999999</v>
      </c>
      <c r="P15" s="307">
        <f t="shared" si="4"/>
        <v>26004.251250000001</v>
      </c>
      <c r="Q15" s="308">
        <f t="shared" si="5"/>
        <v>1.3753424657534248</v>
      </c>
      <c r="R15" s="308">
        <f t="shared" si="6"/>
        <v>1</v>
      </c>
      <c r="S15" s="308">
        <f t="shared" si="7"/>
        <v>0</v>
      </c>
    </row>
    <row r="16" spans="1:19" s="309" customFormat="1">
      <c r="A16" s="301"/>
      <c r="B16" s="302" t="s">
        <v>17</v>
      </c>
      <c r="C16" s="302"/>
      <c r="D16" s="303">
        <v>44501</v>
      </c>
      <c r="E16" s="303"/>
      <c r="F16" s="304">
        <v>501</v>
      </c>
      <c r="G16" s="305">
        <v>39</v>
      </c>
      <c r="H16" s="305">
        <f t="shared" si="0"/>
        <v>97.5</v>
      </c>
      <c r="I16" s="305"/>
      <c r="J16" s="302" t="s">
        <v>44</v>
      </c>
      <c r="K16" s="302" t="s">
        <v>10</v>
      </c>
      <c r="L16" s="306">
        <v>18317.46</v>
      </c>
      <c r="M16" s="307">
        <f t="shared" si="1"/>
        <v>5953.1745000000001</v>
      </c>
      <c r="N16" s="307">
        <f t="shared" si="2"/>
        <v>24270.6345</v>
      </c>
      <c r="O16" s="307">
        <f t="shared" si="3"/>
        <v>1733.6167499999999</v>
      </c>
      <c r="P16" s="307">
        <f t="shared" si="4"/>
        <v>26004.251250000001</v>
      </c>
      <c r="Q16" s="308">
        <f t="shared" si="5"/>
        <v>0.66210045662100458</v>
      </c>
      <c r="R16" s="308">
        <f t="shared" si="6"/>
        <v>0</v>
      </c>
      <c r="S16" s="308">
        <f t="shared" si="7"/>
        <v>0</v>
      </c>
    </row>
    <row r="17" spans="1:19" s="289" customFormat="1">
      <c r="A17" s="289">
        <v>1</v>
      </c>
      <c r="B17" s="149" t="s">
        <v>18</v>
      </c>
      <c r="C17" s="149" t="s">
        <v>274</v>
      </c>
      <c r="D17" s="290">
        <v>39965</v>
      </c>
      <c r="E17" s="290"/>
      <c r="F17" s="291">
        <v>100</v>
      </c>
      <c r="G17" s="292">
        <v>40</v>
      </c>
      <c r="H17" s="292">
        <f t="shared" si="0"/>
        <v>100</v>
      </c>
      <c r="I17" s="292" t="s">
        <v>273</v>
      </c>
      <c r="J17" s="149" t="s">
        <v>45</v>
      </c>
      <c r="K17" s="149" t="s">
        <v>10</v>
      </c>
      <c r="L17" s="296">
        <v>19882.14</v>
      </c>
      <c r="M17" s="294">
        <f t="shared" si="1"/>
        <v>6461.6954999999998</v>
      </c>
      <c r="N17" s="294">
        <f t="shared" si="2"/>
        <v>26343.835500000001</v>
      </c>
      <c r="O17" s="294">
        <f t="shared" si="3"/>
        <v>1881.7025357142859</v>
      </c>
      <c r="P17" s="294">
        <f t="shared" si="4"/>
        <v>28225.538035714286</v>
      </c>
      <c r="Q17" s="295">
        <f t="shared" si="5"/>
        <v>4.8045662100456621</v>
      </c>
      <c r="R17" s="295">
        <f t="shared" si="6"/>
        <v>4</v>
      </c>
      <c r="S17" s="295">
        <f t="shared" si="7"/>
        <v>0</v>
      </c>
    </row>
    <row r="18" spans="1:19" s="289" customFormat="1">
      <c r="A18" s="289">
        <v>5</v>
      </c>
      <c r="B18" s="149" t="s">
        <v>19</v>
      </c>
      <c r="C18" s="149" t="s">
        <v>274</v>
      </c>
      <c r="D18" s="290">
        <v>42116</v>
      </c>
      <c r="E18" s="290"/>
      <c r="F18" s="291">
        <v>200</v>
      </c>
      <c r="G18" s="292">
        <v>30</v>
      </c>
      <c r="H18" s="292">
        <f t="shared" si="0"/>
        <v>75</v>
      </c>
      <c r="I18" s="292" t="s">
        <v>272</v>
      </c>
      <c r="J18" s="149" t="s">
        <v>45</v>
      </c>
      <c r="K18" s="149" t="s">
        <v>10</v>
      </c>
      <c r="L18" s="296">
        <v>14964.92</v>
      </c>
      <c r="M18" s="294">
        <f t="shared" si="1"/>
        <v>4863.5990000000002</v>
      </c>
      <c r="N18" s="294">
        <f t="shared" si="2"/>
        <v>19828.519</v>
      </c>
      <c r="O18" s="294">
        <f t="shared" si="3"/>
        <v>1416.3227857142858</v>
      </c>
      <c r="P18" s="294">
        <f t="shared" si="4"/>
        <v>21244.841785714285</v>
      </c>
      <c r="Q18" s="295">
        <f t="shared" si="5"/>
        <v>2.8401826484018264</v>
      </c>
      <c r="R18" s="295">
        <f t="shared" si="6"/>
        <v>2</v>
      </c>
      <c r="S18" s="295">
        <f t="shared" si="7"/>
        <v>0</v>
      </c>
    </row>
    <row r="19" spans="1:19" s="301" customFormat="1">
      <c r="B19" s="302" t="str">
        <f>+[1]PAlleja!C6</f>
        <v>SGAM</v>
      </c>
      <c r="C19" s="302"/>
      <c r="D19" s="303">
        <f>+[1]PAlleja!H6</f>
        <v>41975</v>
      </c>
      <c r="E19" s="303"/>
      <c r="F19" s="304">
        <f>+[1]PAlleja!D6</f>
        <v>200</v>
      </c>
      <c r="G19" s="305">
        <f>+[1]PAlleja!Z6</f>
        <v>35</v>
      </c>
      <c r="H19" s="305">
        <f t="shared" si="0"/>
        <v>87.5</v>
      </c>
      <c r="I19" s="305"/>
      <c r="J19" s="302" t="str">
        <f>+[1]PAlleja!V6</f>
        <v>AUX.SERV.LIMP</v>
      </c>
      <c r="K19" s="302" t="str">
        <f>+[1]PAlleja!S6</f>
        <v>CE Rest Colect</v>
      </c>
      <c r="L19" s="306">
        <v>16503.439999999999</v>
      </c>
      <c r="M19" s="307">
        <f t="shared" si="1"/>
        <v>5363.6179999999995</v>
      </c>
      <c r="N19" s="307">
        <f t="shared" si="2"/>
        <v>21867.057999999997</v>
      </c>
      <c r="O19" s="307">
        <f t="shared" si="3"/>
        <v>1561.9327142857142</v>
      </c>
      <c r="P19" s="307">
        <f t="shared" si="4"/>
        <v>23428.990714285712</v>
      </c>
      <c r="Q19" s="308">
        <f t="shared" si="5"/>
        <v>2.9689497716894979</v>
      </c>
      <c r="R19" s="308">
        <f t="shared" si="6"/>
        <v>2</v>
      </c>
      <c r="S19" s="308">
        <f t="shared" si="7"/>
        <v>0</v>
      </c>
    </row>
    <row r="20" spans="1:19" s="309" customFormat="1">
      <c r="A20" s="301"/>
      <c r="B20" s="302" t="str">
        <f>+[1]PAlleja!C7</f>
        <v>MSJL</v>
      </c>
      <c r="C20" s="302"/>
      <c r="D20" s="303">
        <f>+[1]PAlleja!H7</f>
        <v>41450</v>
      </c>
      <c r="E20" s="303"/>
      <c r="F20" s="304">
        <f>+[1]PAlleja!D7</f>
        <v>100</v>
      </c>
      <c r="G20" s="305">
        <f>+[1]PAlleja!Z7</f>
        <v>40</v>
      </c>
      <c r="H20" s="305">
        <f t="shared" si="0"/>
        <v>100</v>
      </c>
      <c r="I20" s="305"/>
      <c r="J20" s="302" t="str">
        <f>+[1]PAlleja!V7</f>
        <v>AUX.SERV.LIMP</v>
      </c>
      <c r="K20" s="302" t="str">
        <f>+[1]PAlleja!S7</f>
        <v>CE Rest Colect</v>
      </c>
      <c r="L20" s="306">
        <v>18832.2</v>
      </c>
      <c r="M20" s="307">
        <f t="shared" si="1"/>
        <v>6120.4650000000001</v>
      </c>
      <c r="N20" s="307">
        <f t="shared" si="2"/>
        <v>24952.665000000001</v>
      </c>
      <c r="O20" s="307">
        <f t="shared" si="3"/>
        <v>1782.3332142857143</v>
      </c>
      <c r="P20" s="307">
        <f t="shared" si="4"/>
        <v>26734.998214285715</v>
      </c>
      <c r="Q20" s="308">
        <f t="shared" si="5"/>
        <v>3.4484018264840182</v>
      </c>
      <c r="R20" s="308">
        <f t="shared" si="6"/>
        <v>3</v>
      </c>
      <c r="S20" s="308">
        <f t="shared" si="7"/>
        <v>0</v>
      </c>
    </row>
    <row r="21" spans="1:19" s="289" customFormat="1">
      <c r="A21" s="289">
        <v>28</v>
      </c>
      <c r="B21" s="149" t="str">
        <f>+[1]PAlleja!C3</f>
        <v>AMA</v>
      </c>
      <c r="C21" s="149" t="s">
        <v>276</v>
      </c>
      <c r="D21" s="290">
        <f>+[1]PAlleja!H3</f>
        <v>32664</v>
      </c>
      <c r="E21" s="290"/>
      <c r="F21" s="291">
        <f>+[1]PAlleja!D3</f>
        <v>100</v>
      </c>
      <c r="G21" s="292">
        <f>+[1]PAlleja!Z3</f>
        <v>40</v>
      </c>
      <c r="H21" s="292">
        <f t="shared" si="0"/>
        <v>100</v>
      </c>
      <c r="I21" s="292" t="s">
        <v>273</v>
      </c>
      <c r="J21" s="149" t="str">
        <f>+[1]PAlleja!V3</f>
        <v>COCINERO (SC)</v>
      </c>
      <c r="K21" s="149" t="str">
        <f>+[1]PAlleja!S3</f>
        <v>CE Rest Colect</v>
      </c>
      <c r="L21" s="293">
        <v>23988.34</v>
      </c>
      <c r="M21" s="294">
        <f t="shared" si="1"/>
        <v>7796.2105000000001</v>
      </c>
      <c r="N21" s="294">
        <f t="shared" si="2"/>
        <v>31784.550500000001</v>
      </c>
      <c r="O21" s="294">
        <f t="shared" si="3"/>
        <v>2270.3250357142856</v>
      </c>
      <c r="P21" s="294">
        <f t="shared" si="4"/>
        <v>34054.875535714287</v>
      </c>
      <c r="Q21" s="295">
        <f t="shared" si="5"/>
        <v>11.472146118721462</v>
      </c>
      <c r="R21" s="295">
        <f t="shared" si="6"/>
        <v>11</v>
      </c>
      <c r="S21" s="295">
        <f t="shared" si="7"/>
        <v>0</v>
      </c>
    </row>
    <row r="22" spans="1:19" s="289" customFormat="1">
      <c r="A22" s="289">
        <v>29</v>
      </c>
      <c r="B22" s="149" t="str">
        <f>+[1]PAlleja!C4</f>
        <v>BRJA</v>
      </c>
      <c r="C22" s="149" t="s">
        <v>276</v>
      </c>
      <c r="D22" s="290">
        <f>+[1]PAlleja!H4</f>
        <v>35310</v>
      </c>
      <c r="E22" s="290"/>
      <c r="F22" s="291">
        <f>+[1]PAlleja!D4</f>
        <v>100</v>
      </c>
      <c r="G22" s="292">
        <f>+[1]PAlleja!Z4</f>
        <v>40</v>
      </c>
      <c r="H22" s="292">
        <f t="shared" si="0"/>
        <v>100</v>
      </c>
      <c r="I22" s="292" t="s">
        <v>273</v>
      </c>
      <c r="J22" s="149" t="str">
        <f>+[1]PAlleja!V4</f>
        <v>COCINERO (SC)</v>
      </c>
      <c r="K22" s="149" t="str">
        <f>+[1]PAlleja!S4</f>
        <v>CE Rest Colect</v>
      </c>
      <c r="L22" s="293">
        <v>25042.400000000001</v>
      </c>
      <c r="M22" s="294">
        <f t="shared" si="1"/>
        <v>8138.7800000000007</v>
      </c>
      <c r="N22" s="294">
        <f t="shared" si="2"/>
        <v>33181.18</v>
      </c>
      <c r="O22" s="294">
        <f t="shared" si="3"/>
        <v>2370.0842857142857</v>
      </c>
      <c r="P22" s="294">
        <f t="shared" si="4"/>
        <v>35551.264285714286</v>
      </c>
      <c r="Q22" s="295">
        <f t="shared" si="5"/>
        <v>9.0557077625570788</v>
      </c>
      <c r="R22" s="295">
        <f t="shared" si="6"/>
        <v>9</v>
      </c>
      <c r="S22" s="295">
        <f t="shared" si="7"/>
        <v>0</v>
      </c>
    </row>
    <row r="23" spans="1:19" s="289" customFormat="1">
      <c r="A23" s="289">
        <v>2</v>
      </c>
      <c r="B23" s="149" t="s">
        <v>20</v>
      </c>
      <c r="C23" s="149" t="s">
        <v>276</v>
      </c>
      <c r="D23" s="290">
        <v>41995</v>
      </c>
      <c r="E23" s="290"/>
      <c r="F23" s="291">
        <v>100</v>
      </c>
      <c r="G23" s="292">
        <v>40</v>
      </c>
      <c r="H23" s="292">
        <f t="shared" si="0"/>
        <v>100</v>
      </c>
      <c r="I23" s="292" t="s">
        <v>273</v>
      </c>
      <c r="J23" s="149" t="s">
        <v>21</v>
      </c>
      <c r="K23" s="149" t="s">
        <v>10</v>
      </c>
      <c r="L23" s="296">
        <v>21462.74</v>
      </c>
      <c r="M23" s="294">
        <f t="shared" si="1"/>
        <v>6975.3905000000004</v>
      </c>
      <c r="N23" s="294">
        <f t="shared" si="2"/>
        <v>28438.130500000003</v>
      </c>
      <c r="O23" s="294">
        <f t="shared" si="3"/>
        <v>2031.2950357142859</v>
      </c>
      <c r="P23" s="294">
        <f t="shared" si="4"/>
        <v>30469.42553571429</v>
      </c>
      <c r="Q23" s="295">
        <f t="shared" si="5"/>
        <v>2.9506849315068493</v>
      </c>
      <c r="R23" s="295">
        <f t="shared" si="6"/>
        <v>2</v>
      </c>
      <c r="S23" s="295">
        <f t="shared" si="7"/>
        <v>0</v>
      </c>
    </row>
    <row r="24" spans="1:19" s="289" customFormat="1">
      <c r="A24" s="289">
        <v>4</v>
      </c>
      <c r="B24" s="149" t="s">
        <v>23</v>
      </c>
      <c r="C24" s="149" t="s">
        <v>276</v>
      </c>
      <c r="D24" s="290">
        <v>42032</v>
      </c>
      <c r="E24" s="290"/>
      <c r="F24" s="291">
        <v>100</v>
      </c>
      <c r="G24" s="292">
        <v>40</v>
      </c>
      <c r="H24" s="292">
        <f t="shared" si="0"/>
        <v>100</v>
      </c>
      <c r="I24" s="292" t="s">
        <v>273</v>
      </c>
      <c r="J24" s="149" t="s">
        <v>21</v>
      </c>
      <c r="K24" s="149" t="s">
        <v>10</v>
      </c>
      <c r="L24" s="296">
        <v>22032.14</v>
      </c>
      <c r="M24" s="294">
        <f t="shared" si="1"/>
        <v>7160.4454999999998</v>
      </c>
      <c r="N24" s="294">
        <f t="shared" si="2"/>
        <v>29192.585500000001</v>
      </c>
      <c r="O24" s="294">
        <f t="shared" si="3"/>
        <v>2085.1846785714288</v>
      </c>
      <c r="P24" s="294">
        <f t="shared" si="4"/>
        <v>31277.770178571431</v>
      </c>
      <c r="Q24" s="295">
        <f t="shared" si="5"/>
        <v>2.9168949771689499</v>
      </c>
      <c r="R24" s="295">
        <f t="shared" si="6"/>
        <v>2</v>
      </c>
      <c r="S24" s="295">
        <f t="shared" si="7"/>
        <v>0</v>
      </c>
    </row>
    <row r="25" spans="1:19" s="289" customFormat="1">
      <c r="A25" s="289">
        <v>6</v>
      </c>
      <c r="B25" s="149" t="s">
        <v>24</v>
      </c>
      <c r="C25" s="149" t="s">
        <v>276</v>
      </c>
      <c r="D25" s="290">
        <v>42319</v>
      </c>
      <c r="E25" s="290"/>
      <c r="F25" s="291">
        <v>100</v>
      </c>
      <c r="G25" s="292">
        <v>40</v>
      </c>
      <c r="H25" s="292">
        <f t="shared" si="0"/>
        <v>100</v>
      </c>
      <c r="I25" s="292" t="s">
        <v>273</v>
      </c>
      <c r="J25" s="149" t="s">
        <v>21</v>
      </c>
      <c r="K25" s="149" t="s">
        <v>10</v>
      </c>
      <c r="L25" s="293">
        <v>24432.16</v>
      </c>
      <c r="M25" s="294">
        <f t="shared" si="1"/>
        <v>7940.4520000000002</v>
      </c>
      <c r="N25" s="294">
        <f t="shared" si="2"/>
        <v>32372.612000000001</v>
      </c>
      <c r="O25" s="294">
        <f t="shared" si="3"/>
        <v>2312.3294285714287</v>
      </c>
      <c r="P25" s="294">
        <f t="shared" si="4"/>
        <v>34684.94142857143</v>
      </c>
      <c r="Q25" s="295">
        <f t="shared" si="5"/>
        <v>2.6547945205479451</v>
      </c>
      <c r="R25" s="295">
        <f t="shared" si="6"/>
        <v>2</v>
      </c>
      <c r="S25" s="295">
        <f t="shared" si="7"/>
        <v>0</v>
      </c>
    </row>
    <row r="26" spans="1:19" s="289" customFormat="1">
      <c r="A26" s="289">
        <v>7</v>
      </c>
      <c r="B26" s="149" t="s">
        <v>25</v>
      </c>
      <c r="C26" s="149" t="s">
        <v>276</v>
      </c>
      <c r="D26" s="290">
        <v>42851</v>
      </c>
      <c r="E26" s="290"/>
      <c r="F26" s="291">
        <v>100</v>
      </c>
      <c r="G26" s="292">
        <v>40</v>
      </c>
      <c r="H26" s="292">
        <f t="shared" si="0"/>
        <v>100</v>
      </c>
      <c r="I26" s="292" t="s">
        <v>273</v>
      </c>
      <c r="J26" s="149" t="s">
        <v>21</v>
      </c>
      <c r="K26" s="149" t="s">
        <v>10</v>
      </c>
      <c r="L26" s="296">
        <v>22032.14</v>
      </c>
      <c r="M26" s="294">
        <f t="shared" si="1"/>
        <v>7160.4454999999998</v>
      </c>
      <c r="N26" s="294">
        <f t="shared" si="2"/>
        <v>29192.585500000001</v>
      </c>
      <c r="O26" s="294">
        <f t="shared" si="3"/>
        <v>2085.1846785714288</v>
      </c>
      <c r="P26" s="294">
        <f t="shared" si="4"/>
        <v>31277.770178571431</v>
      </c>
      <c r="Q26" s="295">
        <f t="shared" si="5"/>
        <v>2.1689497716894977</v>
      </c>
      <c r="R26" s="295">
        <f t="shared" si="6"/>
        <v>2</v>
      </c>
      <c r="S26" s="295">
        <f t="shared" si="7"/>
        <v>0</v>
      </c>
    </row>
    <row r="27" spans="1:19" s="297" customFormat="1">
      <c r="A27" s="289">
        <v>8</v>
      </c>
      <c r="B27" s="149" t="s">
        <v>26</v>
      </c>
      <c r="C27" s="149" t="s">
        <v>276</v>
      </c>
      <c r="D27" s="290">
        <v>42881</v>
      </c>
      <c r="E27" s="290"/>
      <c r="F27" s="291">
        <v>100</v>
      </c>
      <c r="G27" s="292">
        <v>40</v>
      </c>
      <c r="H27" s="292">
        <f t="shared" si="0"/>
        <v>100</v>
      </c>
      <c r="I27" s="292" t="s">
        <v>273</v>
      </c>
      <c r="J27" s="149" t="s">
        <v>21</v>
      </c>
      <c r="K27" s="149" t="s">
        <v>10</v>
      </c>
      <c r="L27" s="296">
        <v>22032.14</v>
      </c>
      <c r="M27" s="294">
        <f t="shared" si="1"/>
        <v>7160.4454999999998</v>
      </c>
      <c r="N27" s="294">
        <f t="shared" si="2"/>
        <v>29192.585500000001</v>
      </c>
      <c r="O27" s="294">
        <f t="shared" si="3"/>
        <v>2085.1846785714288</v>
      </c>
      <c r="P27" s="294">
        <f t="shared" si="4"/>
        <v>31277.770178571431</v>
      </c>
      <c r="Q27" s="295">
        <f t="shared" si="5"/>
        <v>2.1415525114155254</v>
      </c>
      <c r="R27" s="295">
        <f t="shared" si="6"/>
        <v>2</v>
      </c>
      <c r="S27" s="295">
        <f t="shared" si="7"/>
        <v>0</v>
      </c>
    </row>
    <row r="28" spans="1:19" s="289" customFormat="1">
      <c r="A28" s="289">
        <v>10</v>
      </c>
      <c r="B28" s="149" t="s">
        <v>27</v>
      </c>
      <c r="C28" s="149" t="s">
        <v>276</v>
      </c>
      <c r="D28" s="290">
        <v>42915</v>
      </c>
      <c r="E28" s="290"/>
      <c r="F28" s="291">
        <v>100</v>
      </c>
      <c r="G28" s="292">
        <v>40</v>
      </c>
      <c r="H28" s="292">
        <f t="shared" si="0"/>
        <v>100</v>
      </c>
      <c r="I28" s="292" t="s">
        <v>273</v>
      </c>
      <c r="J28" s="149" t="s">
        <v>21</v>
      </c>
      <c r="K28" s="149" t="s">
        <v>10</v>
      </c>
      <c r="L28" s="296">
        <v>22032.14</v>
      </c>
      <c r="M28" s="294">
        <f t="shared" si="1"/>
        <v>7160.4454999999998</v>
      </c>
      <c r="N28" s="294">
        <f t="shared" si="2"/>
        <v>29192.585500000001</v>
      </c>
      <c r="O28" s="294">
        <f t="shared" si="3"/>
        <v>2085.1846785714288</v>
      </c>
      <c r="P28" s="294">
        <f t="shared" si="4"/>
        <v>31277.770178571431</v>
      </c>
      <c r="Q28" s="295">
        <f t="shared" si="5"/>
        <v>2.1105022831050229</v>
      </c>
      <c r="R28" s="295">
        <f t="shared" si="6"/>
        <v>2</v>
      </c>
      <c r="S28" s="295">
        <f t="shared" si="7"/>
        <v>0</v>
      </c>
    </row>
    <row r="29" spans="1:19" s="289" customFormat="1">
      <c r="A29" s="289">
        <v>11</v>
      </c>
      <c r="B29" s="149" t="s">
        <v>28</v>
      </c>
      <c r="C29" s="149" t="s">
        <v>276</v>
      </c>
      <c r="D29" s="290">
        <v>43006</v>
      </c>
      <c r="E29" s="290"/>
      <c r="F29" s="291">
        <v>100</v>
      </c>
      <c r="G29" s="292">
        <v>40</v>
      </c>
      <c r="H29" s="292">
        <f t="shared" si="0"/>
        <v>100</v>
      </c>
      <c r="I29" s="292" t="s">
        <v>273</v>
      </c>
      <c r="J29" s="149" t="s">
        <v>21</v>
      </c>
      <c r="K29" s="149" t="s">
        <v>10</v>
      </c>
      <c r="L29" s="296">
        <v>22032.14</v>
      </c>
      <c r="M29" s="294">
        <f t="shared" si="1"/>
        <v>7160.4454999999998</v>
      </c>
      <c r="N29" s="294">
        <f t="shared" si="2"/>
        <v>29192.585500000001</v>
      </c>
      <c r="O29" s="294">
        <f t="shared" si="3"/>
        <v>2085.1846785714288</v>
      </c>
      <c r="P29" s="294">
        <f t="shared" si="4"/>
        <v>31277.770178571431</v>
      </c>
      <c r="Q29" s="295">
        <f t="shared" si="5"/>
        <v>2.0273972602739727</v>
      </c>
      <c r="R29" s="295">
        <f t="shared" si="6"/>
        <v>2</v>
      </c>
      <c r="S29" s="295">
        <f t="shared" si="7"/>
        <v>0</v>
      </c>
    </row>
    <row r="30" spans="1:19" s="297" customFormat="1">
      <c r="A30" s="289">
        <v>14</v>
      </c>
      <c r="B30" s="149" t="s">
        <v>31</v>
      </c>
      <c r="C30" s="149" t="s">
        <v>274</v>
      </c>
      <c r="D30" s="290">
        <v>43524</v>
      </c>
      <c r="E30" s="290"/>
      <c r="F30" s="291">
        <v>100</v>
      </c>
      <c r="G30" s="292">
        <v>40</v>
      </c>
      <c r="H30" s="292">
        <f t="shared" si="0"/>
        <v>100</v>
      </c>
      <c r="I30" s="292" t="s">
        <v>273</v>
      </c>
      <c r="J30" s="149" t="s">
        <v>21</v>
      </c>
      <c r="K30" s="149" t="s">
        <v>10</v>
      </c>
      <c r="L30" s="296">
        <v>21411.02</v>
      </c>
      <c r="M30" s="294">
        <f t="shared" si="1"/>
        <v>6958.5815000000002</v>
      </c>
      <c r="N30" s="294">
        <f t="shared" si="2"/>
        <v>28369.601500000001</v>
      </c>
      <c r="O30" s="294">
        <f t="shared" si="3"/>
        <v>2026.4001071428572</v>
      </c>
      <c r="P30" s="294">
        <f t="shared" si="4"/>
        <v>30396.001607142858</v>
      </c>
      <c r="Q30" s="295">
        <f t="shared" si="5"/>
        <v>1.554337899543379</v>
      </c>
      <c r="R30" s="295">
        <f t="shared" si="6"/>
        <v>1</v>
      </c>
      <c r="S30" s="295">
        <f t="shared" si="7"/>
        <v>0</v>
      </c>
    </row>
    <row r="31" spans="1:19" s="289" customFormat="1">
      <c r="A31" s="289">
        <v>15</v>
      </c>
      <c r="B31" s="149" t="s">
        <v>32</v>
      </c>
      <c r="C31" s="149" t="s">
        <v>276</v>
      </c>
      <c r="D31" s="290">
        <v>43568</v>
      </c>
      <c r="E31" s="290"/>
      <c r="F31" s="291">
        <v>100</v>
      </c>
      <c r="G31" s="292">
        <v>40</v>
      </c>
      <c r="H31" s="292">
        <f t="shared" si="0"/>
        <v>100</v>
      </c>
      <c r="I31" s="292" t="s">
        <v>273</v>
      </c>
      <c r="J31" s="149" t="s">
        <v>21</v>
      </c>
      <c r="K31" s="149" t="s">
        <v>10</v>
      </c>
      <c r="L31" s="296">
        <v>21411.02</v>
      </c>
      <c r="M31" s="294">
        <f t="shared" si="1"/>
        <v>6958.5815000000002</v>
      </c>
      <c r="N31" s="294">
        <f t="shared" si="2"/>
        <v>28369.601500000001</v>
      </c>
      <c r="O31" s="294">
        <f t="shared" si="3"/>
        <v>2026.4001071428572</v>
      </c>
      <c r="P31" s="294">
        <f t="shared" si="4"/>
        <v>30396.001607142858</v>
      </c>
      <c r="Q31" s="295">
        <f t="shared" si="5"/>
        <v>1.5141552511415526</v>
      </c>
      <c r="R31" s="295">
        <f t="shared" si="6"/>
        <v>1</v>
      </c>
      <c r="S31" s="295">
        <f t="shared" si="7"/>
        <v>0</v>
      </c>
    </row>
    <row r="32" spans="1:19" s="289" customFormat="1">
      <c r="A32" s="289">
        <v>16</v>
      </c>
      <c r="B32" s="149" t="s">
        <v>34</v>
      </c>
      <c r="C32" s="149" t="s">
        <v>276</v>
      </c>
      <c r="D32" s="290">
        <v>43638</v>
      </c>
      <c r="E32" s="290"/>
      <c r="F32" s="291">
        <v>100</v>
      </c>
      <c r="G32" s="292">
        <v>40</v>
      </c>
      <c r="H32" s="292">
        <f t="shared" si="0"/>
        <v>100</v>
      </c>
      <c r="I32" s="292" t="s">
        <v>273</v>
      </c>
      <c r="J32" s="149" t="s">
        <v>21</v>
      </c>
      <c r="K32" s="149" t="s">
        <v>10</v>
      </c>
      <c r="L32" s="296">
        <v>21411.02</v>
      </c>
      <c r="M32" s="294">
        <f t="shared" si="1"/>
        <v>6958.5815000000002</v>
      </c>
      <c r="N32" s="294">
        <f t="shared" si="2"/>
        <v>28369.601500000001</v>
      </c>
      <c r="O32" s="294">
        <f t="shared" si="3"/>
        <v>2026.4001071428572</v>
      </c>
      <c r="P32" s="294">
        <f t="shared" si="4"/>
        <v>30396.001607142858</v>
      </c>
      <c r="Q32" s="295">
        <f t="shared" si="5"/>
        <v>1.4502283105022833</v>
      </c>
      <c r="R32" s="295">
        <f t="shared" si="6"/>
        <v>1</v>
      </c>
      <c r="S32" s="295">
        <f t="shared" si="7"/>
        <v>0</v>
      </c>
    </row>
    <row r="33" spans="1:19" s="297" customFormat="1">
      <c r="A33" s="289">
        <v>17</v>
      </c>
      <c r="B33" s="149" t="s">
        <v>35</v>
      </c>
      <c r="C33" s="149" t="s">
        <v>276</v>
      </c>
      <c r="D33" s="290">
        <v>43657</v>
      </c>
      <c r="E33" s="290"/>
      <c r="F33" s="291">
        <v>100</v>
      </c>
      <c r="G33" s="292">
        <v>40</v>
      </c>
      <c r="H33" s="292">
        <f t="shared" si="0"/>
        <v>100</v>
      </c>
      <c r="I33" s="292" t="s">
        <v>273</v>
      </c>
      <c r="J33" s="149" t="s">
        <v>21</v>
      </c>
      <c r="K33" s="149" t="s">
        <v>10</v>
      </c>
      <c r="L33" s="296">
        <v>21411.02</v>
      </c>
      <c r="M33" s="294">
        <f t="shared" si="1"/>
        <v>6958.5815000000002</v>
      </c>
      <c r="N33" s="294">
        <f t="shared" si="2"/>
        <v>28369.601500000001</v>
      </c>
      <c r="O33" s="294">
        <f t="shared" si="3"/>
        <v>2026.4001071428572</v>
      </c>
      <c r="P33" s="294">
        <f t="shared" si="4"/>
        <v>30396.001607142858</v>
      </c>
      <c r="Q33" s="295">
        <f t="shared" si="5"/>
        <v>1.4328767123287671</v>
      </c>
      <c r="R33" s="295">
        <f t="shared" si="6"/>
        <v>1</v>
      </c>
      <c r="S33" s="295">
        <f t="shared" si="7"/>
        <v>0</v>
      </c>
    </row>
    <row r="34" spans="1:19" s="289" customFormat="1">
      <c r="A34" s="289">
        <v>18</v>
      </c>
      <c r="B34" s="149" t="s">
        <v>42</v>
      </c>
      <c r="C34" s="149" t="s">
        <v>276</v>
      </c>
      <c r="D34" s="290">
        <v>40274</v>
      </c>
      <c r="E34" s="290"/>
      <c r="F34" s="291">
        <v>100</v>
      </c>
      <c r="G34" s="292">
        <v>40</v>
      </c>
      <c r="H34" s="292">
        <f t="shared" si="0"/>
        <v>100</v>
      </c>
      <c r="I34" s="292" t="s">
        <v>273</v>
      </c>
      <c r="J34" s="149" t="s">
        <v>21</v>
      </c>
      <c r="K34" s="149" t="s">
        <v>10</v>
      </c>
      <c r="L34" s="293">
        <v>21411.02</v>
      </c>
      <c r="M34" s="294">
        <f t="shared" si="1"/>
        <v>6958.5815000000002</v>
      </c>
      <c r="N34" s="294">
        <f t="shared" si="2"/>
        <v>28369.601500000001</v>
      </c>
      <c r="O34" s="294">
        <f t="shared" si="3"/>
        <v>2026.4001071428572</v>
      </c>
      <c r="P34" s="294">
        <f t="shared" si="4"/>
        <v>30396.001607142858</v>
      </c>
      <c r="Q34" s="295">
        <f t="shared" si="5"/>
        <v>4.5223744292237447</v>
      </c>
      <c r="R34" s="295">
        <f t="shared" si="6"/>
        <v>4</v>
      </c>
      <c r="S34" s="295">
        <f t="shared" si="7"/>
        <v>0</v>
      </c>
    </row>
    <row r="35" spans="1:19" s="289" customFormat="1">
      <c r="A35" s="289">
        <v>19</v>
      </c>
      <c r="B35" s="149" t="s">
        <v>36</v>
      </c>
      <c r="C35" s="149" t="s">
        <v>276</v>
      </c>
      <c r="D35" s="290">
        <v>44242</v>
      </c>
      <c r="E35" s="290"/>
      <c r="F35" s="291">
        <v>100</v>
      </c>
      <c r="G35" s="292">
        <v>40</v>
      </c>
      <c r="H35" s="292">
        <f t="shared" ref="H35:H52" si="8">G35/40*100</f>
        <v>100</v>
      </c>
      <c r="I35" s="292" t="s">
        <v>273</v>
      </c>
      <c r="J35" s="149" t="s">
        <v>21</v>
      </c>
      <c r="K35" s="149" t="s">
        <v>10</v>
      </c>
      <c r="L35" s="293">
        <v>21411.02</v>
      </c>
      <c r="M35" s="294">
        <f t="shared" ref="M35:M52" si="9">L35*$M$1</f>
        <v>6958.5815000000002</v>
      </c>
      <c r="N35" s="294">
        <f t="shared" ref="N35:N52" si="10">L35+M35</f>
        <v>28369.601500000001</v>
      </c>
      <c r="O35" s="294">
        <f t="shared" ref="O35:O52" si="11">N35/14</f>
        <v>2026.4001071428572</v>
      </c>
      <c r="P35" s="294">
        <f t="shared" ref="P35:P52" si="12">N35+O35</f>
        <v>30396.001607142858</v>
      </c>
      <c r="Q35" s="295">
        <f t="shared" ref="Q35:Q52" si="13">(($Q$1-D35)/365)/3</f>
        <v>0.89863013698630134</v>
      </c>
      <c r="R35" s="295">
        <f t="shared" ref="R35:R52" si="14">INT(Q35)</f>
        <v>0</v>
      </c>
      <c r="S35" s="295">
        <f t="shared" ref="S35:S52" si="15">R35*$S$1</f>
        <v>0</v>
      </c>
    </row>
    <row r="36" spans="1:19" s="289" customFormat="1">
      <c r="A36" s="289">
        <v>23</v>
      </c>
      <c r="B36" s="149" t="s">
        <v>32</v>
      </c>
      <c r="C36" s="149" t="s">
        <v>276</v>
      </c>
      <c r="D36" s="290">
        <v>44522</v>
      </c>
      <c r="E36" s="290"/>
      <c r="F36" s="291">
        <v>100</v>
      </c>
      <c r="G36" s="292">
        <v>40</v>
      </c>
      <c r="H36" s="292">
        <f t="shared" si="8"/>
        <v>100</v>
      </c>
      <c r="I36" s="292" t="s">
        <v>273</v>
      </c>
      <c r="J36" s="149" t="s">
        <v>21</v>
      </c>
      <c r="K36" s="149" t="s">
        <v>10</v>
      </c>
      <c r="L36" s="296">
        <v>21411.02</v>
      </c>
      <c r="M36" s="294">
        <f t="shared" si="9"/>
        <v>6958.5815000000002</v>
      </c>
      <c r="N36" s="294">
        <f t="shared" si="10"/>
        <v>28369.601500000001</v>
      </c>
      <c r="O36" s="294">
        <f t="shared" si="11"/>
        <v>2026.4001071428572</v>
      </c>
      <c r="P36" s="294">
        <f t="shared" si="12"/>
        <v>30396.001607142858</v>
      </c>
      <c r="Q36" s="295">
        <f t="shared" si="13"/>
        <v>0.64292237442922373</v>
      </c>
      <c r="R36" s="295">
        <f t="shared" si="14"/>
        <v>0</v>
      </c>
      <c r="S36" s="295">
        <f t="shared" si="15"/>
        <v>0</v>
      </c>
    </row>
    <row r="37" spans="1:19" s="289" customFormat="1">
      <c r="A37" s="289">
        <v>25</v>
      </c>
      <c r="B37" s="149" t="s">
        <v>316</v>
      </c>
      <c r="C37" s="149" t="s">
        <v>276</v>
      </c>
      <c r="D37" s="290">
        <v>45063</v>
      </c>
      <c r="E37" s="290"/>
      <c r="F37" s="291">
        <v>100</v>
      </c>
      <c r="G37" s="292">
        <v>40</v>
      </c>
      <c r="H37" s="292">
        <f t="shared" si="8"/>
        <v>100</v>
      </c>
      <c r="I37" s="292" t="s">
        <v>273</v>
      </c>
      <c r="J37" s="149" t="s">
        <v>21</v>
      </c>
      <c r="K37" s="149" t="s">
        <v>10</v>
      </c>
      <c r="L37" s="293">
        <v>21411.02</v>
      </c>
      <c r="M37" s="294">
        <f t="shared" si="9"/>
        <v>6958.5815000000002</v>
      </c>
      <c r="N37" s="294">
        <f t="shared" si="10"/>
        <v>28369.601500000001</v>
      </c>
      <c r="O37" s="294">
        <f t="shared" si="11"/>
        <v>2026.4001071428572</v>
      </c>
      <c r="P37" s="294">
        <f t="shared" si="12"/>
        <v>30396.001607142858</v>
      </c>
      <c r="Q37" s="295">
        <f t="shared" si="13"/>
        <v>0.14885844748858448</v>
      </c>
      <c r="R37" s="295">
        <f t="shared" si="14"/>
        <v>0</v>
      </c>
      <c r="S37" s="295">
        <f t="shared" si="15"/>
        <v>0</v>
      </c>
    </row>
    <row r="38" spans="1:19" s="297" customFormat="1">
      <c r="A38" s="289">
        <v>26</v>
      </c>
      <c r="B38" s="149" t="s">
        <v>317</v>
      </c>
      <c r="C38" s="149" t="s">
        <v>276</v>
      </c>
      <c r="D38" s="290">
        <v>45096</v>
      </c>
      <c r="E38" s="290"/>
      <c r="F38" s="291">
        <v>100</v>
      </c>
      <c r="G38" s="292">
        <v>40</v>
      </c>
      <c r="H38" s="292">
        <f t="shared" si="8"/>
        <v>100</v>
      </c>
      <c r="I38" s="292" t="s">
        <v>273</v>
      </c>
      <c r="J38" s="149" t="s">
        <v>21</v>
      </c>
      <c r="K38" s="149" t="s">
        <v>10</v>
      </c>
      <c r="L38" s="293">
        <v>21411.02</v>
      </c>
      <c r="M38" s="294">
        <f t="shared" si="9"/>
        <v>6958.5815000000002</v>
      </c>
      <c r="N38" s="294">
        <f t="shared" si="10"/>
        <v>28369.601500000001</v>
      </c>
      <c r="O38" s="294">
        <f t="shared" si="11"/>
        <v>2026.4001071428572</v>
      </c>
      <c r="P38" s="294">
        <f t="shared" si="12"/>
        <v>30396.001607142858</v>
      </c>
      <c r="Q38" s="295">
        <f t="shared" si="13"/>
        <v>0.11872146118721461</v>
      </c>
      <c r="R38" s="295">
        <f t="shared" si="14"/>
        <v>0</v>
      </c>
      <c r="S38" s="295">
        <f t="shared" si="15"/>
        <v>0</v>
      </c>
    </row>
    <row r="39" spans="1:19" s="311" customFormat="1">
      <c r="A39" s="311">
        <v>27</v>
      </c>
      <c r="B39" s="312" t="s">
        <v>277</v>
      </c>
      <c r="C39" s="312" t="s">
        <v>276</v>
      </c>
      <c r="D39" s="313">
        <v>45209</v>
      </c>
      <c r="E39" s="313">
        <v>45572</v>
      </c>
      <c r="F39" s="314">
        <v>410</v>
      </c>
      <c r="G39" s="315">
        <v>40</v>
      </c>
      <c r="H39" s="315">
        <f t="shared" si="8"/>
        <v>100</v>
      </c>
      <c r="I39" s="315" t="s">
        <v>273</v>
      </c>
      <c r="J39" s="312" t="s">
        <v>21</v>
      </c>
      <c r="K39" s="312" t="s">
        <v>10</v>
      </c>
      <c r="L39" s="316">
        <v>21411.02</v>
      </c>
      <c r="M39" s="317">
        <f t="shared" si="9"/>
        <v>6958.5815000000002</v>
      </c>
      <c r="N39" s="317">
        <f t="shared" si="10"/>
        <v>28369.601500000001</v>
      </c>
      <c r="O39" s="317">
        <f t="shared" si="11"/>
        <v>2026.4001071428572</v>
      </c>
      <c r="P39" s="317">
        <f t="shared" si="12"/>
        <v>30396.001607142858</v>
      </c>
      <c r="Q39" s="318">
        <f t="shared" si="13"/>
        <v>1.5525114155251143E-2</v>
      </c>
      <c r="R39" s="318">
        <f t="shared" si="14"/>
        <v>0</v>
      </c>
      <c r="S39" s="318">
        <f t="shared" si="15"/>
        <v>0</v>
      </c>
    </row>
    <row r="40" spans="1:19" s="62" customFormat="1">
      <c r="B40" s="258" t="s">
        <v>22</v>
      </c>
      <c r="C40" s="258"/>
      <c r="D40" s="259">
        <v>41967</v>
      </c>
      <c r="E40" s="259"/>
      <c r="F40" s="260">
        <v>200</v>
      </c>
      <c r="G40" s="261">
        <v>39</v>
      </c>
      <c r="H40" s="261">
        <f t="shared" si="8"/>
        <v>97.5</v>
      </c>
      <c r="I40" s="261"/>
      <c r="J40" s="258" t="s">
        <v>21</v>
      </c>
      <c r="K40" s="258" t="s">
        <v>10</v>
      </c>
      <c r="L40" s="262">
        <v>20365.599999999999</v>
      </c>
      <c r="M40" s="263">
        <f t="shared" si="9"/>
        <v>6618.82</v>
      </c>
      <c r="N40" s="263">
        <f t="shared" si="10"/>
        <v>26984.42</v>
      </c>
      <c r="O40" s="263">
        <f t="shared" si="11"/>
        <v>1927.4585714285713</v>
      </c>
      <c r="P40" s="263">
        <f t="shared" si="12"/>
        <v>28911.87857142857</v>
      </c>
      <c r="Q40" s="264">
        <f t="shared" si="13"/>
        <v>2.9762557077625567</v>
      </c>
      <c r="R40" s="264">
        <f t="shared" si="14"/>
        <v>2</v>
      </c>
      <c r="S40" s="264">
        <f t="shared" si="15"/>
        <v>0</v>
      </c>
    </row>
    <row r="41" spans="1:19" s="26" customFormat="1">
      <c r="A41" s="62"/>
      <c r="B41" s="258" t="s">
        <v>30</v>
      </c>
      <c r="C41" s="258"/>
      <c r="D41" s="259">
        <v>43395</v>
      </c>
      <c r="E41" s="259"/>
      <c r="F41" s="260">
        <v>189</v>
      </c>
      <c r="G41" s="261">
        <v>40</v>
      </c>
      <c r="H41" s="261">
        <f t="shared" si="8"/>
        <v>100</v>
      </c>
      <c r="I41" s="261"/>
      <c r="J41" s="258" t="s">
        <v>21</v>
      </c>
      <c r="K41" s="258" t="s">
        <v>10</v>
      </c>
      <c r="L41" s="262">
        <v>20280.400000000001</v>
      </c>
      <c r="M41" s="263">
        <f t="shared" si="9"/>
        <v>6591.130000000001</v>
      </c>
      <c r="N41" s="263">
        <f t="shared" si="10"/>
        <v>26871.530000000002</v>
      </c>
      <c r="O41" s="263">
        <f t="shared" si="11"/>
        <v>1919.3950000000002</v>
      </c>
      <c r="P41" s="263">
        <f t="shared" si="12"/>
        <v>28790.925000000003</v>
      </c>
      <c r="Q41" s="264">
        <f t="shared" si="13"/>
        <v>1.672146118721461</v>
      </c>
      <c r="R41" s="264">
        <f t="shared" si="14"/>
        <v>1</v>
      </c>
      <c r="S41" s="264">
        <f t="shared" si="15"/>
        <v>0</v>
      </c>
    </row>
    <row r="42" spans="1:19" s="62" customFormat="1">
      <c r="B42" s="258" t="s">
        <v>33</v>
      </c>
      <c r="C42" s="258"/>
      <c r="D42" s="259">
        <v>44501</v>
      </c>
      <c r="E42" s="259"/>
      <c r="F42" s="260">
        <v>501</v>
      </c>
      <c r="G42" s="261">
        <v>39</v>
      </c>
      <c r="H42" s="261">
        <f t="shared" si="8"/>
        <v>97.5</v>
      </c>
      <c r="I42" s="261"/>
      <c r="J42" s="258" t="s">
        <v>21</v>
      </c>
      <c r="K42" s="258" t="s">
        <v>10</v>
      </c>
      <c r="L42" s="262">
        <v>19777.240000000002</v>
      </c>
      <c r="M42" s="263">
        <f t="shared" si="9"/>
        <v>6427.603000000001</v>
      </c>
      <c r="N42" s="263">
        <f t="shared" si="10"/>
        <v>26204.843000000001</v>
      </c>
      <c r="O42" s="263">
        <f t="shared" si="11"/>
        <v>1871.7745</v>
      </c>
      <c r="P42" s="263">
        <f t="shared" si="12"/>
        <v>28076.6175</v>
      </c>
      <c r="Q42" s="264">
        <f t="shared" si="13"/>
        <v>0.66210045662100458</v>
      </c>
      <c r="R42" s="264">
        <f t="shared" si="14"/>
        <v>0</v>
      </c>
      <c r="S42" s="264">
        <f t="shared" si="15"/>
        <v>0</v>
      </c>
    </row>
    <row r="43" spans="1:19" s="26" customFormat="1">
      <c r="A43" s="62"/>
      <c r="B43" s="258" t="s">
        <v>318</v>
      </c>
      <c r="C43" s="258"/>
      <c r="D43" s="259">
        <v>44501</v>
      </c>
      <c r="E43" s="259"/>
      <c r="F43" s="260">
        <v>501</v>
      </c>
      <c r="G43" s="261">
        <v>39</v>
      </c>
      <c r="H43" s="261">
        <f t="shared" si="8"/>
        <v>97.5</v>
      </c>
      <c r="I43" s="261"/>
      <c r="J43" s="258" t="s">
        <v>21</v>
      </c>
      <c r="K43" s="258" t="s">
        <v>10</v>
      </c>
      <c r="L43" s="262">
        <v>19777.240000000002</v>
      </c>
      <c r="M43" s="263">
        <f t="shared" si="9"/>
        <v>6427.603000000001</v>
      </c>
      <c r="N43" s="263">
        <f t="shared" si="10"/>
        <v>26204.843000000001</v>
      </c>
      <c r="O43" s="263">
        <f t="shared" si="11"/>
        <v>1871.7745</v>
      </c>
      <c r="P43" s="263">
        <f t="shared" si="12"/>
        <v>28076.6175</v>
      </c>
      <c r="Q43" s="264">
        <f t="shared" si="13"/>
        <v>0.66210045662100458</v>
      </c>
      <c r="R43" s="264">
        <f t="shared" si="14"/>
        <v>0</v>
      </c>
      <c r="S43" s="264">
        <f t="shared" si="15"/>
        <v>0</v>
      </c>
    </row>
    <row r="44" spans="1:19" s="26" customFormat="1">
      <c r="A44" s="62"/>
      <c r="B44" s="258" t="s">
        <v>37</v>
      </c>
      <c r="C44" s="258"/>
      <c r="D44" s="259">
        <v>44562</v>
      </c>
      <c r="E44" s="259"/>
      <c r="F44" s="260">
        <v>501</v>
      </c>
      <c r="G44" s="261">
        <v>39</v>
      </c>
      <c r="H44" s="261">
        <f t="shared" si="8"/>
        <v>97.5</v>
      </c>
      <c r="I44" s="261"/>
      <c r="J44" s="258" t="s">
        <v>21</v>
      </c>
      <c r="K44" s="258" t="s">
        <v>10</v>
      </c>
      <c r="L44" s="262">
        <v>19777.240000000002</v>
      </c>
      <c r="M44" s="263">
        <f t="shared" si="9"/>
        <v>6427.603000000001</v>
      </c>
      <c r="N44" s="263">
        <f t="shared" si="10"/>
        <v>26204.843000000001</v>
      </c>
      <c r="O44" s="263">
        <f t="shared" si="11"/>
        <v>1871.7745</v>
      </c>
      <c r="P44" s="263">
        <f t="shared" si="12"/>
        <v>28076.6175</v>
      </c>
      <c r="Q44" s="264">
        <f t="shared" si="13"/>
        <v>0.60639269406392693</v>
      </c>
      <c r="R44" s="264">
        <f t="shared" si="14"/>
        <v>0</v>
      </c>
      <c r="S44" s="264">
        <f t="shared" si="15"/>
        <v>0</v>
      </c>
    </row>
    <row r="45" spans="1:19">
      <c r="A45" s="62"/>
      <c r="B45" s="258" t="s">
        <v>38</v>
      </c>
      <c r="C45" s="258"/>
      <c r="D45" s="259">
        <v>44473</v>
      </c>
      <c r="E45" s="259"/>
      <c r="F45" s="260">
        <v>501</v>
      </c>
      <c r="G45" s="261">
        <v>39</v>
      </c>
      <c r="H45" s="261">
        <f t="shared" si="8"/>
        <v>97.5</v>
      </c>
      <c r="I45" s="261"/>
      <c r="J45" s="258" t="s">
        <v>21</v>
      </c>
      <c r="K45" s="258" t="s">
        <v>10</v>
      </c>
      <c r="L45" s="262">
        <v>19777.240000000002</v>
      </c>
      <c r="M45" s="263">
        <f t="shared" si="9"/>
        <v>6427.603000000001</v>
      </c>
      <c r="N45" s="263">
        <f t="shared" si="10"/>
        <v>26204.843000000001</v>
      </c>
      <c r="O45" s="263">
        <f t="shared" si="11"/>
        <v>1871.7745</v>
      </c>
      <c r="P45" s="263">
        <f t="shared" si="12"/>
        <v>28076.6175</v>
      </c>
      <c r="Q45" s="264">
        <f t="shared" si="13"/>
        <v>0.68767123287671239</v>
      </c>
      <c r="R45" s="264">
        <f t="shared" si="14"/>
        <v>0</v>
      </c>
      <c r="S45" s="264">
        <f t="shared" si="15"/>
        <v>0</v>
      </c>
    </row>
    <row r="46" spans="1:19">
      <c r="A46" s="62"/>
      <c r="B46" s="258" t="s">
        <v>39</v>
      </c>
      <c r="C46" s="258"/>
      <c r="D46" s="259">
        <v>44526</v>
      </c>
      <c r="E46" s="259"/>
      <c r="F46" s="260">
        <v>501</v>
      </c>
      <c r="G46" s="261">
        <v>39</v>
      </c>
      <c r="H46" s="261">
        <f t="shared" si="8"/>
        <v>97.5</v>
      </c>
      <c r="I46" s="261"/>
      <c r="J46" s="258" t="s">
        <v>21</v>
      </c>
      <c r="K46" s="258" t="s">
        <v>10</v>
      </c>
      <c r="L46" s="262">
        <v>19777.240000000002</v>
      </c>
      <c r="M46" s="263">
        <f t="shared" si="9"/>
        <v>6427.603000000001</v>
      </c>
      <c r="N46" s="263">
        <f t="shared" si="10"/>
        <v>26204.843000000001</v>
      </c>
      <c r="O46" s="263">
        <f t="shared" si="11"/>
        <v>1871.7745</v>
      </c>
      <c r="P46" s="263">
        <f t="shared" si="12"/>
        <v>28076.6175</v>
      </c>
      <c r="Q46" s="264">
        <f t="shared" si="13"/>
        <v>0.63926940639269403</v>
      </c>
      <c r="R46" s="264">
        <f t="shared" si="14"/>
        <v>0</v>
      </c>
      <c r="S46" s="264">
        <f t="shared" si="15"/>
        <v>0</v>
      </c>
    </row>
    <row r="47" spans="1:19" s="289" customFormat="1">
      <c r="A47" s="297">
        <v>34</v>
      </c>
      <c r="B47" s="149" t="str">
        <f>+[1]PAlleja!C9</f>
        <v>GMJ</v>
      </c>
      <c r="C47" s="149" t="s">
        <v>274</v>
      </c>
      <c r="D47" s="299">
        <f>+[1]PAlleja!H9</f>
        <v>43712</v>
      </c>
      <c r="E47" s="290">
        <v>45166</v>
      </c>
      <c r="F47" s="291">
        <v>100</v>
      </c>
      <c r="G47" s="300">
        <v>40</v>
      </c>
      <c r="H47" s="300">
        <f t="shared" si="8"/>
        <v>100</v>
      </c>
      <c r="I47" s="292"/>
      <c r="J47" s="298" t="str">
        <f>+[1]PAlleja!V9</f>
        <v>DIETISTA</v>
      </c>
      <c r="K47" s="149" t="str">
        <f>+[1]PAlleja!S9</f>
        <v>CE Rest Colect</v>
      </c>
      <c r="L47" s="293">
        <v>25999.94</v>
      </c>
      <c r="M47" s="294">
        <f t="shared" si="9"/>
        <v>8449.9804999999997</v>
      </c>
      <c r="N47" s="294">
        <f t="shared" si="10"/>
        <v>34449.9205</v>
      </c>
      <c r="O47" s="294">
        <f t="shared" si="11"/>
        <v>2460.7086071428571</v>
      </c>
      <c r="P47" s="294">
        <f t="shared" si="12"/>
        <v>36910.629107142857</v>
      </c>
      <c r="Q47" s="295">
        <f t="shared" si="13"/>
        <v>1.382648401826484</v>
      </c>
      <c r="R47" s="295">
        <f t="shared" si="14"/>
        <v>1</v>
      </c>
      <c r="S47" s="295">
        <f t="shared" si="15"/>
        <v>0</v>
      </c>
    </row>
    <row r="48" spans="1:19" s="297" customFormat="1">
      <c r="A48" s="289">
        <v>13</v>
      </c>
      <c r="B48" s="149" t="s">
        <v>40</v>
      </c>
      <c r="C48" s="149" t="s">
        <v>274</v>
      </c>
      <c r="D48" s="290">
        <v>43374</v>
      </c>
      <c r="E48" s="290"/>
      <c r="F48" s="291">
        <v>100</v>
      </c>
      <c r="G48" s="292">
        <v>40</v>
      </c>
      <c r="H48" s="292">
        <f t="shared" si="8"/>
        <v>100</v>
      </c>
      <c r="I48" s="292" t="s">
        <v>273</v>
      </c>
      <c r="J48" s="149" t="s">
        <v>278</v>
      </c>
      <c r="K48" s="149" t="s">
        <v>10</v>
      </c>
      <c r="L48" s="296">
        <v>23786.6</v>
      </c>
      <c r="M48" s="294">
        <f t="shared" si="9"/>
        <v>7730.6449999999995</v>
      </c>
      <c r="N48" s="294">
        <f t="shared" si="10"/>
        <v>31517.244999999999</v>
      </c>
      <c r="O48" s="294">
        <f t="shared" si="11"/>
        <v>2251.2317857142857</v>
      </c>
      <c r="P48" s="294">
        <f t="shared" si="12"/>
        <v>33768.476785714287</v>
      </c>
      <c r="Q48" s="295">
        <f t="shared" si="13"/>
        <v>1.6913242009132421</v>
      </c>
      <c r="R48" s="295">
        <f t="shared" si="14"/>
        <v>1</v>
      </c>
      <c r="S48" s="295">
        <f t="shared" si="15"/>
        <v>0</v>
      </c>
    </row>
    <row r="49" spans="1:19" s="297" customFormat="1">
      <c r="A49" s="289">
        <v>30</v>
      </c>
      <c r="B49" s="149" t="s">
        <v>312</v>
      </c>
      <c r="C49" s="149" t="s">
        <v>274</v>
      </c>
      <c r="D49" s="290">
        <f>+[1]PAlleja!H5</f>
        <v>40094</v>
      </c>
      <c r="E49" s="290"/>
      <c r="F49" s="291">
        <f>+[1]PAlleja!D5</f>
        <v>100</v>
      </c>
      <c r="G49" s="292">
        <f>+[1]PAlleja!Z5</f>
        <v>40</v>
      </c>
      <c r="H49" s="292">
        <f t="shared" si="8"/>
        <v>100</v>
      </c>
      <c r="I49" s="292" t="s">
        <v>273</v>
      </c>
      <c r="J49" s="149" t="str">
        <f>+[1]PAlleja!V5</f>
        <v>JEFE DE PARTIDA</v>
      </c>
      <c r="K49" s="149" t="str">
        <f>+[1]PAlleja!S5</f>
        <v>CE Rest Colect</v>
      </c>
      <c r="L49" s="296">
        <v>22275.72</v>
      </c>
      <c r="M49" s="294">
        <f t="shared" si="9"/>
        <v>7239.6090000000004</v>
      </c>
      <c r="N49" s="294">
        <f t="shared" si="10"/>
        <v>29515.329000000002</v>
      </c>
      <c r="O49" s="294">
        <f t="shared" si="11"/>
        <v>2108.237785714286</v>
      </c>
      <c r="P49" s="294">
        <f t="shared" si="12"/>
        <v>31623.566785714287</v>
      </c>
      <c r="Q49" s="295">
        <f t="shared" si="13"/>
        <v>4.68675799086758</v>
      </c>
      <c r="R49" s="295">
        <f t="shared" si="14"/>
        <v>4</v>
      </c>
      <c r="S49" s="295">
        <f t="shared" si="15"/>
        <v>0</v>
      </c>
    </row>
    <row r="50" spans="1:19" s="8" customFormat="1">
      <c r="A50" s="289">
        <v>24</v>
      </c>
      <c r="B50" s="149" t="s">
        <v>315</v>
      </c>
      <c r="C50" s="149" t="s">
        <v>276</v>
      </c>
      <c r="D50" s="290">
        <v>45060</v>
      </c>
      <c r="E50" s="290"/>
      <c r="F50" s="291">
        <v>510</v>
      </c>
      <c r="G50" s="292">
        <v>40</v>
      </c>
      <c r="H50" s="292">
        <f t="shared" si="8"/>
        <v>100</v>
      </c>
      <c r="I50" s="292" t="s">
        <v>273</v>
      </c>
      <c r="J50" s="149" t="s">
        <v>43</v>
      </c>
      <c r="K50" s="149" t="s">
        <v>10</v>
      </c>
      <c r="L50" s="296">
        <v>19460.96</v>
      </c>
      <c r="M50" s="294">
        <f t="shared" si="9"/>
        <v>6324.8119999999999</v>
      </c>
      <c r="N50" s="294">
        <f t="shared" si="10"/>
        <v>25785.771999999997</v>
      </c>
      <c r="O50" s="294">
        <f t="shared" si="11"/>
        <v>1841.840857142857</v>
      </c>
      <c r="P50" s="294">
        <f t="shared" si="12"/>
        <v>27627.612857142853</v>
      </c>
      <c r="Q50" s="295">
        <f t="shared" si="13"/>
        <v>0.15159817351598173</v>
      </c>
      <c r="R50" s="295">
        <f t="shared" si="14"/>
        <v>0</v>
      </c>
      <c r="S50" s="295">
        <f t="shared" si="15"/>
        <v>0</v>
      </c>
    </row>
    <row r="51" spans="1:19" s="310" customFormat="1">
      <c r="A51" s="301"/>
      <c r="B51" s="302" t="s">
        <v>230</v>
      </c>
      <c r="C51" s="302"/>
      <c r="D51" s="303">
        <v>44652</v>
      </c>
      <c r="E51" s="303"/>
      <c r="F51" s="304">
        <v>510</v>
      </c>
      <c r="G51" s="305">
        <v>32</v>
      </c>
      <c r="H51" s="305">
        <f t="shared" si="8"/>
        <v>80</v>
      </c>
      <c r="I51" s="305"/>
      <c r="J51" s="302" t="s">
        <v>43</v>
      </c>
      <c r="K51" s="302" t="s">
        <v>10</v>
      </c>
      <c r="L51" s="306">
        <v>14777.28</v>
      </c>
      <c r="M51" s="307">
        <f t="shared" si="9"/>
        <v>4802.616</v>
      </c>
      <c r="N51" s="307">
        <f t="shared" si="10"/>
        <v>19579.896000000001</v>
      </c>
      <c r="O51" s="307">
        <f t="shared" si="11"/>
        <v>1398.5640000000001</v>
      </c>
      <c r="P51" s="307">
        <f t="shared" si="12"/>
        <v>20978.46</v>
      </c>
      <c r="Q51" s="308">
        <f t="shared" si="13"/>
        <v>0.52420091324200913</v>
      </c>
      <c r="R51" s="308">
        <f t="shared" si="14"/>
        <v>0</v>
      </c>
      <c r="S51" s="308">
        <f t="shared" si="15"/>
        <v>0</v>
      </c>
    </row>
    <row r="52" spans="1:19" s="309" customFormat="1">
      <c r="A52" s="301"/>
      <c r="B52" s="302" t="s">
        <v>42</v>
      </c>
      <c r="C52" s="302"/>
      <c r="D52" s="303">
        <v>40274</v>
      </c>
      <c r="E52" s="303"/>
      <c r="F52" s="304">
        <v>100</v>
      </c>
      <c r="G52" s="305">
        <v>40</v>
      </c>
      <c r="H52" s="305">
        <f t="shared" si="8"/>
        <v>100</v>
      </c>
      <c r="I52" s="305"/>
      <c r="J52" s="302" t="s">
        <v>43</v>
      </c>
      <c r="K52" s="302" t="s">
        <v>10</v>
      </c>
      <c r="L52" s="306">
        <v>18433.38</v>
      </c>
      <c r="M52" s="307">
        <f t="shared" si="9"/>
        <v>5990.848500000001</v>
      </c>
      <c r="N52" s="307">
        <f t="shared" si="10"/>
        <v>24424.228500000001</v>
      </c>
      <c r="O52" s="307">
        <f t="shared" si="11"/>
        <v>1744.5877500000001</v>
      </c>
      <c r="P52" s="307">
        <f t="shared" si="12"/>
        <v>26168.81625</v>
      </c>
      <c r="Q52" s="308">
        <f t="shared" si="13"/>
        <v>4.5223744292237447</v>
      </c>
      <c r="R52" s="308">
        <f t="shared" si="14"/>
        <v>4</v>
      </c>
      <c r="S52" s="308">
        <f t="shared" si="15"/>
        <v>0</v>
      </c>
    </row>
    <row r="53" spans="1:19">
      <c r="D53" s="250"/>
      <c r="E53" s="250"/>
      <c r="F53" s="250"/>
      <c r="G53" s="250"/>
      <c r="H53" s="256"/>
      <c r="I53" s="250"/>
      <c r="L53" s="23">
        <f>SUM(L3:L52)</f>
        <v>1016572.8200000001</v>
      </c>
      <c r="M53" s="251">
        <f>SUM(M3:M49)</f>
        <v>313267.89</v>
      </c>
      <c r="N53" s="251">
        <f>SUM(N3:N49)</f>
        <v>1277169.0900000008</v>
      </c>
      <c r="O53" s="251">
        <f>SUM(O3:O49)</f>
        <v>91226.363571428577</v>
      </c>
      <c r="P53" s="251">
        <f>SUM(P3:P49)</f>
        <v>1368395.4535714283</v>
      </c>
    </row>
    <row r="54" spans="1:19">
      <c r="D54" s="250"/>
      <c r="E54" s="250"/>
      <c r="F54" s="250"/>
      <c r="G54" s="250"/>
      <c r="H54" s="256"/>
      <c r="I54" s="250"/>
      <c r="L54" s="255"/>
    </row>
  </sheetData>
  <autoFilter ref="A2:S53">
    <sortState ref="A3:S53">
      <sortCondition ref="J2:J53"/>
    </sortState>
  </autoFilter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B27"/>
  <sheetViews>
    <sheetView zoomScale="80" zoomScaleNormal="80" workbookViewId="0">
      <selection activeCell="B7" sqref="B7"/>
    </sheetView>
  </sheetViews>
  <sheetFormatPr defaultRowHeight="14.5"/>
  <cols>
    <col min="1" max="1" width="46.7265625" customWidth="1"/>
    <col min="2" max="2" width="15.453125" customWidth="1"/>
    <col min="3" max="3" width="14.7265625" bestFit="1" customWidth="1"/>
    <col min="4" max="4" width="13.453125" bestFit="1" customWidth="1"/>
    <col min="5" max="5" width="15.54296875" style="8" bestFit="1" customWidth="1"/>
    <col min="6" max="6" width="15" customWidth="1"/>
    <col min="7" max="7" width="13.1796875" bestFit="1" customWidth="1"/>
    <col min="8" max="8" width="14.1796875" bestFit="1" customWidth="1"/>
    <col min="9" max="9" width="12.81640625" bestFit="1" customWidth="1"/>
    <col min="10" max="10" width="14.7265625" style="8" bestFit="1" customWidth="1"/>
    <col min="11" max="11" width="12" bestFit="1" customWidth="1"/>
    <col min="12" max="12" width="11" hidden="1" customWidth="1"/>
    <col min="13" max="14" width="13.1796875" hidden="1" customWidth="1"/>
    <col min="15" max="15" width="14.7265625" hidden="1" customWidth="1"/>
    <col min="16" max="16" width="12.81640625" hidden="1" customWidth="1"/>
    <col min="17" max="17" width="14.7265625" hidden="1" customWidth="1"/>
    <col min="18" max="18" width="8.7265625" hidden="1" customWidth="1"/>
    <col min="19" max="19" width="15.7265625" hidden="1" customWidth="1"/>
    <col min="20" max="20" width="8.7265625" hidden="1" customWidth="1"/>
    <col min="21" max="21" width="11.54296875" bestFit="1" customWidth="1"/>
    <col min="22" max="22" width="13.81640625" bestFit="1" customWidth="1"/>
    <col min="23" max="23" width="13.1796875" bestFit="1" customWidth="1"/>
    <col min="24" max="24" width="14.1796875" bestFit="1" customWidth="1"/>
    <col min="25" max="25" width="12.81640625" bestFit="1" customWidth="1"/>
    <col min="26" max="26" width="14.1796875" bestFit="1" customWidth="1"/>
    <col min="27" max="27" width="9.81640625" bestFit="1" customWidth="1"/>
    <col min="28" max="28" width="14.26953125" bestFit="1" customWidth="1"/>
  </cols>
  <sheetData>
    <row r="1" spans="1:28" ht="15" thickBot="1">
      <c r="G1" s="13">
        <f>'Original subrogació 2022'!I1</f>
        <v>0.32500000000000001</v>
      </c>
      <c r="N1" s="13">
        <v>0.32500000000000001</v>
      </c>
      <c r="U1">
        <v>2023</v>
      </c>
      <c r="W1" s="13">
        <v>0.32500000000000001</v>
      </c>
    </row>
    <row r="2" spans="1:28" ht="51.75" customHeight="1">
      <c r="A2" s="230" t="s">
        <v>5</v>
      </c>
      <c r="B2" s="239" t="s">
        <v>329</v>
      </c>
      <c r="C2" s="329" t="s">
        <v>280</v>
      </c>
      <c r="D2" s="239" t="s">
        <v>282</v>
      </c>
      <c r="E2" s="232" t="s">
        <v>281</v>
      </c>
      <c r="F2" s="3" t="s">
        <v>52</v>
      </c>
      <c r="G2" s="16" t="s">
        <v>63</v>
      </c>
      <c r="H2" s="16" t="s">
        <v>66</v>
      </c>
      <c r="I2" s="16" t="s">
        <v>64</v>
      </c>
      <c r="J2" s="16" t="s">
        <v>283</v>
      </c>
      <c r="L2" s="16" t="s">
        <v>70</v>
      </c>
      <c r="M2" s="16" t="s">
        <v>265</v>
      </c>
      <c r="N2" s="16" t="s">
        <v>63</v>
      </c>
      <c r="O2" s="16" t="s">
        <v>66</v>
      </c>
      <c r="P2" s="16" t="s">
        <v>71</v>
      </c>
      <c r="Q2" s="16" t="s">
        <v>65</v>
      </c>
      <c r="R2" s="16" t="s">
        <v>72</v>
      </c>
      <c r="S2" s="16" t="s">
        <v>268</v>
      </c>
      <c r="U2" s="16" t="s">
        <v>70</v>
      </c>
      <c r="V2" s="16" t="s">
        <v>282</v>
      </c>
      <c r="W2" s="16" t="s">
        <v>63</v>
      </c>
      <c r="X2" s="16" t="s">
        <v>66</v>
      </c>
      <c r="Y2" s="16" t="s">
        <v>71</v>
      </c>
      <c r="Z2" s="16" t="s">
        <v>65</v>
      </c>
      <c r="AA2" s="16" t="s">
        <v>72</v>
      </c>
      <c r="AB2" s="16" t="s">
        <v>283</v>
      </c>
    </row>
    <row r="3" spans="1:28" s="26" customFormat="1">
      <c r="A3" s="330" t="s">
        <v>9</v>
      </c>
      <c r="B3" s="332">
        <v>1</v>
      </c>
      <c r="C3" s="333">
        <v>1</v>
      </c>
      <c r="D3" s="241">
        <f>F3*B3</f>
        <v>22275.72</v>
      </c>
      <c r="E3" s="267">
        <f>'Nou full subrogacio 2023'!L3</f>
        <v>22275.72</v>
      </c>
      <c r="F3" s="20">
        <f>E3/C3</f>
        <v>22275.72</v>
      </c>
      <c r="G3" s="20">
        <f>D3*$G$1</f>
        <v>7239.6090000000004</v>
      </c>
      <c r="H3" s="20">
        <f>D3+G3</f>
        <v>29515.329000000002</v>
      </c>
      <c r="I3" s="20">
        <f>H3/14</f>
        <v>2108.237785714286</v>
      </c>
      <c r="J3" s="270">
        <f>H3+I3</f>
        <v>31623.566785714287</v>
      </c>
      <c r="K3" s="66"/>
      <c r="L3" s="21">
        <v>1437.68</v>
      </c>
      <c r="M3" s="21">
        <f>L3*14*C3</f>
        <v>20127.52</v>
      </c>
      <c r="N3" s="21">
        <f>M3*$N$1</f>
        <v>6541.4440000000004</v>
      </c>
      <c r="O3" s="21">
        <f>M3+N3</f>
        <v>26668.964</v>
      </c>
      <c r="P3" s="21">
        <f>O3/14</f>
        <v>1904.9259999999999</v>
      </c>
      <c r="Q3" s="21">
        <f>O3+P3</f>
        <v>28573.89</v>
      </c>
      <c r="R3" s="268">
        <v>1</v>
      </c>
      <c r="S3" s="269">
        <f>Q3*R3</f>
        <v>28573.89</v>
      </c>
      <c r="T3" s="11"/>
      <c r="U3" s="269">
        <v>1517.83</v>
      </c>
      <c r="V3" s="21">
        <f>U3*14*B3</f>
        <v>21249.62</v>
      </c>
      <c r="W3" s="21">
        <f>V3*$N$1</f>
        <v>6906.1265000000003</v>
      </c>
      <c r="X3" s="21">
        <f>V3+W3</f>
        <v>28155.746500000001</v>
      </c>
      <c r="Y3" s="21">
        <f>X3/14</f>
        <v>2011.1247500000002</v>
      </c>
      <c r="Z3" s="21">
        <f>X3+Y3</f>
        <v>30166.87125</v>
      </c>
      <c r="AA3" s="95">
        <f>'Nou full subrogacio 2023'!H3/100</f>
        <v>1</v>
      </c>
      <c r="AB3" s="269">
        <f>Z3*AA3</f>
        <v>30166.87125</v>
      </c>
    </row>
    <row r="4" spans="1:28" s="26" customFormat="1">
      <c r="A4" s="330" t="s">
        <v>51</v>
      </c>
      <c r="B4" s="332">
        <v>2</v>
      </c>
      <c r="C4" s="333">
        <v>2</v>
      </c>
      <c r="D4" s="241">
        <f t="shared" ref="D4:D12" si="0">F4*B4</f>
        <v>39660.839999999997</v>
      </c>
      <c r="E4" s="267">
        <f>'Nou full subrogacio 2023'!L4+'Nou full subrogacio 2023'!L5</f>
        <v>39660.839999999997</v>
      </c>
      <c r="F4" s="20">
        <f t="shared" ref="F4:F12" si="1">E4/C4</f>
        <v>19830.419999999998</v>
      </c>
      <c r="G4" s="20">
        <f t="shared" ref="G4:G12" si="2">D4*$G$1</f>
        <v>12889.772999999999</v>
      </c>
      <c r="H4" s="20">
        <f t="shared" ref="H4:H12" si="3">D4+G4</f>
        <v>52550.612999999998</v>
      </c>
      <c r="I4" s="20">
        <f t="shared" ref="I4:I12" si="4">H4/14</f>
        <v>3753.615214285714</v>
      </c>
      <c r="J4" s="270">
        <f t="shared" ref="J4:J12" si="5">H4+I4</f>
        <v>56304.228214285715</v>
      </c>
      <c r="K4" s="11"/>
      <c r="L4" s="21">
        <v>1330.74</v>
      </c>
      <c r="M4" s="21">
        <f t="shared" ref="M4:M12" si="6">L4*14*C4</f>
        <v>37260.720000000001</v>
      </c>
      <c r="N4" s="21">
        <f t="shared" ref="N4:N12" si="7">M4*$N$1</f>
        <v>12109.734</v>
      </c>
      <c r="O4" s="21">
        <f t="shared" ref="O4:O12" si="8">M4+N4</f>
        <v>49370.453999999998</v>
      </c>
      <c r="P4" s="21">
        <f t="shared" ref="P4:P12" si="9">O4/14</f>
        <v>3526.4609999999998</v>
      </c>
      <c r="Q4" s="21">
        <f t="shared" ref="Q4:Q12" si="10">O4+P4</f>
        <v>52896.915000000001</v>
      </c>
      <c r="R4" s="168">
        <v>0.97499999999999998</v>
      </c>
      <c r="S4" s="269">
        <f t="shared" ref="S4:S12" si="11">Q4*R4</f>
        <v>51574.492124999997</v>
      </c>
      <c r="T4" s="11"/>
      <c r="U4" s="269">
        <v>1404.93</v>
      </c>
      <c r="V4" s="21">
        <f t="shared" ref="V4:V12" si="12">U4*14*B4</f>
        <v>39338.04</v>
      </c>
      <c r="W4" s="21">
        <f t="shared" ref="W4:W12" si="13">V4*$N$1</f>
        <v>12784.863000000001</v>
      </c>
      <c r="X4" s="21">
        <f t="shared" ref="X4:X12" si="14">V4+W4</f>
        <v>52122.903000000006</v>
      </c>
      <c r="Y4" s="21">
        <f t="shared" ref="Y4:Y12" si="15">X4/14</f>
        <v>3723.0645000000004</v>
      </c>
      <c r="Z4" s="21">
        <f t="shared" ref="Z4:Z12" si="16">X4+Y4</f>
        <v>55845.967500000006</v>
      </c>
      <c r="AA4" s="271">
        <f>AVERAGE('Nou full subrogacio 2023'!H4:H5)/100</f>
        <v>1</v>
      </c>
      <c r="AB4" s="269">
        <f t="shared" ref="AB4:AB12" si="17">Z4*AA4</f>
        <v>55845.967500000006</v>
      </c>
    </row>
    <row r="5" spans="1:28" s="26" customFormat="1">
      <c r="A5" s="330" t="s">
        <v>44</v>
      </c>
      <c r="B5" s="332">
        <v>6</v>
      </c>
      <c r="C5" s="333">
        <v>6</v>
      </c>
      <c r="D5" s="241">
        <f t="shared" si="0"/>
        <v>109354.68000000002</v>
      </c>
      <c r="E5" s="267">
        <f>SUM('Nou full subrogacio 2023'!L8:L13)</f>
        <v>109354.68000000001</v>
      </c>
      <c r="F5" s="20">
        <f t="shared" si="1"/>
        <v>18225.780000000002</v>
      </c>
      <c r="G5" s="20">
        <f t="shared" si="2"/>
        <v>35540.271000000008</v>
      </c>
      <c r="H5" s="20">
        <f t="shared" si="3"/>
        <v>144894.95100000003</v>
      </c>
      <c r="I5" s="20">
        <f t="shared" si="4"/>
        <v>10349.63935714286</v>
      </c>
      <c r="J5" s="270">
        <f t="shared" si="5"/>
        <v>155244.59035714288</v>
      </c>
      <c r="K5" s="11"/>
      <c r="L5" s="21">
        <v>1330.74</v>
      </c>
      <c r="M5" s="21">
        <f t="shared" si="6"/>
        <v>111782.16</v>
      </c>
      <c r="N5" s="21">
        <f t="shared" si="7"/>
        <v>36329.202000000005</v>
      </c>
      <c r="O5" s="21">
        <f t="shared" si="8"/>
        <v>148111.36200000002</v>
      </c>
      <c r="P5" s="21">
        <f t="shared" si="9"/>
        <v>10579.383000000002</v>
      </c>
      <c r="Q5" s="21">
        <f t="shared" si="10"/>
        <v>158690.74500000002</v>
      </c>
      <c r="R5" s="168">
        <v>0.94169999999999998</v>
      </c>
      <c r="S5" s="269">
        <f t="shared" si="11"/>
        <v>149439.07456650003</v>
      </c>
      <c r="T5" s="11"/>
      <c r="U5" s="269">
        <v>1404.93</v>
      </c>
      <c r="V5" s="21">
        <f t="shared" si="12"/>
        <v>118014.12</v>
      </c>
      <c r="W5" s="21">
        <f t="shared" si="13"/>
        <v>38354.589</v>
      </c>
      <c r="X5" s="21">
        <f t="shared" si="14"/>
        <v>156368.709</v>
      </c>
      <c r="Y5" s="21">
        <f t="shared" si="15"/>
        <v>11169.193499999999</v>
      </c>
      <c r="Z5" s="21">
        <f t="shared" si="16"/>
        <v>167537.9025</v>
      </c>
      <c r="AA5" s="271">
        <f>AVERAGE('Nou full subrogacio 2023'!H8:H13)/100</f>
        <v>0.91666666666666674</v>
      </c>
      <c r="AB5" s="269">
        <f t="shared" si="17"/>
        <v>153576.41062500002</v>
      </c>
    </row>
    <row r="6" spans="1:28" s="26" customFormat="1">
      <c r="A6" s="330" t="s">
        <v>45</v>
      </c>
      <c r="B6" s="332">
        <v>2</v>
      </c>
      <c r="C6" s="333">
        <v>2</v>
      </c>
      <c r="D6" s="241">
        <f t="shared" si="0"/>
        <v>34847.06</v>
      </c>
      <c r="E6" s="267">
        <f>SUM('Nou full subrogacio 2023'!L17:L18)</f>
        <v>34847.06</v>
      </c>
      <c r="F6" s="20">
        <f t="shared" si="1"/>
        <v>17423.53</v>
      </c>
      <c r="G6" s="20">
        <f t="shared" si="2"/>
        <v>11325.2945</v>
      </c>
      <c r="H6" s="20">
        <f t="shared" si="3"/>
        <v>46172.354500000001</v>
      </c>
      <c r="I6" s="20">
        <f t="shared" si="4"/>
        <v>3298.0253214285717</v>
      </c>
      <c r="J6" s="270">
        <f t="shared" si="5"/>
        <v>49470.379821428571</v>
      </c>
      <c r="K6" s="11"/>
      <c r="L6" s="21">
        <v>1305.75</v>
      </c>
      <c r="M6" s="21">
        <f t="shared" si="6"/>
        <v>36561</v>
      </c>
      <c r="N6" s="21">
        <f t="shared" si="7"/>
        <v>11882.325000000001</v>
      </c>
      <c r="O6" s="21">
        <f t="shared" si="8"/>
        <v>48443.324999999997</v>
      </c>
      <c r="P6" s="21">
        <f t="shared" si="9"/>
        <v>3460.2374999999997</v>
      </c>
      <c r="Q6" s="21">
        <f t="shared" si="10"/>
        <v>51903.5625</v>
      </c>
      <c r="R6" s="168">
        <v>0.9</v>
      </c>
      <c r="S6" s="269">
        <f t="shared" si="11"/>
        <v>46713.206250000003</v>
      </c>
      <c r="T6" s="11"/>
      <c r="U6" s="269">
        <v>1378.54</v>
      </c>
      <c r="V6" s="21">
        <f t="shared" si="12"/>
        <v>38599.119999999995</v>
      </c>
      <c r="W6" s="21">
        <f t="shared" si="13"/>
        <v>12544.713999999998</v>
      </c>
      <c r="X6" s="21">
        <f t="shared" si="14"/>
        <v>51143.833999999995</v>
      </c>
      <c r="Y6" s="21">
        <f t="shared" si="15"/>
        <v>3653.1309999999999</v>
      </c>
      <c r="Z6" s="21">
        <f t="shared" si="16"/>
        <v>54796.964999999997</v>
      </c>
      <c r="AA6" s="271">
        <f>AVERAGE('Nou full subrogacio 2023'!H17:H18)/100</f>
        <v>0.875</v>
      </c>
      <c r="AB6" s="269">
        <f t="shared" si="17"/>
        <v>47947.344375000001</v>
      </c>
    </row>
    <row r="7" spans="1:28" s="26" customFormat="1">
      <c r="A7" s="330" t="s">
        <v>46</v>
      </c>
      <c r="B7" s="332">
        <v>2</v>
      </c>
      <c r="C7" s="333">
        <v>2</v>
      </c>
      <c r="D7" s="241">
        <f t="shared" si="0"/>
        <v>49030.740000000005</v>
      </c>
      <c r="E7" s="267">
        <f>SUM('Nou full subrogacio 2023'!L21:L22)</f>
        <v>49030.740000000005</v>
      </c>
      <c r="F7" s="20">
        <f t="shared" si="1"/>
        <v>24515.370000000003</v>
      </c>
      <c r="G7" s="20">
        <f t="shared" si="2"/>
        <v>15934.990500000002</v>
      </c>
      <c r="H7" s="20">
        <f t="shared" si="3"/>
        <v>64965.730500000005</v>
      </c>
      <c r="I7" s="20">
        <f t="shared" si="4"/>
        <v>4640.4093214285722</v>
      </c>
      <c r="J7" s="270">
        <f t="shared" si="5"/>
        <v>69606.139821428573</v>
      </c>
      <c r="K7" s="11"/>
      <c r="L7" s="21">
        <v>1437.68</v>
      </c>
      <c r="M7" s="21">
        <f t="shared" si="6"/>
        <v>40255.040000000001</v>
      </c>
      <c r="N7" s="21">
        <f t="shared" si="7"/>
        <v>13082.888000000001</v>
      </c>
      <c r="O7" s="21">
        <f t="shared" si="8"/>
        <v>53337.928</v>
      </c>
      <c r="P7" s="21">
        <f t="shared" si="9"/>
        <v>3809.8519999999999</v>
      </c>
      <c r="Q7" s="21">
        <f t="shared" si="10"/>
        <v>57147.78</v>
      </c>
      <c r="R7" s="168">
        <v>1</v>
      </c>
      <c r="S7" s="269">
        <f t="shared" si="11"/>
        <v>57147.78</v>
      </c>
      <c r="T7" s="11"/>
      <c r="U7" s="269">
        <v>1517.83</v>
      </c>
      <c r="V7" s="21">
        <f t="shared" si="12"/>
        <v>42499.24</v>
      </c>
      <c r="W7" s="21">
        <f t="shared" si="13"/>
        <v>13812.253000000001</v>
      </c>
      <c r="X7" s="21">
        <f t="shared" si="14"/>
        <v>56311.493000000002</v>
      </c>
      <c r="Y7" s="21">
        <f t="shared" si="15"/>
        <v>4022.2495000000004</v>
      </c>
      <c r="Z7" s="21">
        <f t="shared" si="16"/>
        <v>60333.7425</v>
      </c>
      <c r="AA7" s="271">
        <f>AVERAGE('Nou full subrogacio 2023'!H21:H22)/100</f>
        <v>1</v>
      </c>
      <c r="AB7" s="269">
        <f t="shared" si="17"/>
        <v>60333.7425</v>
      </c>
    </row>
    <row r="8" spans="1:28" s="26" customFormat="1">
      <c r="A8" s="330" t="s">
        <v>21</v>
      </c>
      <c r="B8" s="332">
        <v>16</v>
      </c>
      <c r="C8" s="333">
        <v>16</v>
      </c>
      <c r="D8" s="241">
        <f t="shared" si="0"/>
        <v>348754.78000000009</v>
      </c>
      <c r="E8" s="267">
        <f>SUM('Nou full subrogacio 2023'!L23:L38)</f>
        <v>348754.78000000009</v>
      </c>
      <c r="F8" s="20">
        <f t="shared" si="1"/>
        <v>21797.173750000005</v>
      </c>
      <c r="G8" s="20">
        <f>D8*$G$1</f>
        <v>113345.30350000004</v>
      </c>
      <c r="H8" s="20">
        <f t="shared" si="3"/>
        <v>462100.08350000012</v>
      </c>
      <c r="I8" s="20">
        <f t="shared" si="4"/>
        <v>33007.148821428578</v>
      </c>
      <c r="J8" s="270">
        <f t="shared" si="5"/>
        <v>495107.23232142872</v>
      </c>
      <c r="K8" s="11"/>
      <c r="L8" s="21">
        <v>1437.68</v>
      </c>
      <c r="M8" s="21">
        <f t="shared" si="6"/>
        <v>322040.32000000001</v>
      </c>
      <c r="N8" s="21">
        <f t="shared" si="7"/>
        <v>104663.10400000001</v>
      </c>
      <c r="O8" s="21">
        <f t="shared" si="8"/>
        <v>426703.424</v>
      </c>
      <c r="P8" s="21">
        <f t="shared" si="9"/>
        <v>30478.815999999999</v>
      </c>
      <c r="Q8" s="21">
        <f t="shared" si="10"/>
        <v>457182.24</v>
      </c>
      <c r="R8" s="168">
        <v>0.97629999999999995</v>
      </c>
      <c r="S8" s="269">
        <f t="shared" si="11"/>
        <v>446347.02091199998</v>
      </c>
      <c r="T8" s="11"/>
      <c r="U8" s="269">
        <v>1517.83</v>
      </c>
      <c r="V8" s="21">
        <f t="shared" si="12"/>
        <v>339993.92</v>
      </c>
      <c r="W8" s="21">
        <f t="shared" si="13"/>
        <v>110498.024</v>
      </c>
      <c r="X8" s="21">
        <f t="shared" si="14"/>
        <v>450491.94400000002</v>
      </c>
      <c r="Y8" s="21">
        <f t="shared" si="15"/>
        <v>32177.996000000003</v>
      </c>
      <c r="Z8" s="21">
        <f t="shared" si="16"/>
        <v>482669.94</v>
      </c>
      <c r="AA8" s="271">
        <f>AVERAGE('Nou full subrogacio 2023'!H23:H39)/100</f>
        <v>1</v>
      </c>
      <c r="AB8" s="269">
        <f t="shared" si="17"/>
        <v>482669.94</v>
      </c>
    </row>
    <row r="9" spans="1:28" s="26" customFormat="1">
      <c r="A9" s="330" t="s">
        <v>47</v>
      </c>
      <c r="B9" s="332">
        <v>1</v>
      </c>
      <c r="C9" s="333">
        <v>1</v>
      </c>
      <c r="D9" s="241">
        <f t="shared" si="0"/>
        <v>25999.94</v>
      </c>
      <c r="E9" s="267">
        <f>'Nou full subrogacio 2023'!L47</f>
        <v>25999.94</v>
      </c>
      <c r="F9" s="20">
        <f t="shared" si="1"/>
        <v>25999.94</v>
      </c>
      <c r="G9" s="20">
        <f t="shared" si="2"/>
        <v>8449.9804999999997</v>
      </c>
      <c r="H9" s="20">
        <f>D9+G9</f>
        <v>34449.9205</v>
      </c>
      <c r="I9" s="20">
        <f>H9/14</f>
        <v>2460.7086071428571</v>
      </c>
      <c r="J9" s="270">
        <f t="shared" si="5"/>
        <v>36910.629107142857</v>
      </c>
      <c r="K9" s="11"/>
      <c r="L9" s="21">
        <v>1437.68</v>
      </c>
      <c r="M9" s="21">
        <f t="shared" si="6"/>
        <v>20127.52</v>
      </c>
      <c r="N9" s="21">
        <f t="shared" si="7"/>
        <v>6541.4440000000004</v>
      </c>
      <c r="O9" s="21">
        <f t="shared" si="8"/>
        <v>26668.964</v>
      </c>
      <c r="P9" s="21">
        <f t="shared" si="9"/>
        <v>1904.9259999999999</v>
      </c>
      <c r="Q9" s="21">
        <f t="shared" si="10"/>
        <v>28573.89</v>
      </c>
      <c r="R9" s="168">
        <v>0.97499999999999998</v>
      </c>
      <c r="S9" s="269">
        <f t="shared" si="11"/>
        <v>27859.542750000001</v>
      </c>
      <c r="T9" s="11"/>
      <c r="U9" s="269">
        <v>1517.83</v>
      </c>
      <c r="V9" s="21">
        <f t="shared" si="12"/>
        <v>21249.62</v>
      </c>
      <c r="W9" s="21">
        <f t="shared" si="13"/>
        <v>6906.1265000000003</v>
      </c>
      <c r="X9" s="21">
        <f t="shared" si="14"/>
        <v>28155.746500000001</v>
      </c>
      <c r="Y9" s="21">
        <f t="shared" si="15"/>
        <v>2011.1247500000002</v>
      </c>
      <c r="Z9" s="21">
        <f t="shared" si="16"/>
        <v>30166.87125</v>
      </c>
      <c r="AA9" s="271">
        <f>AVERAGE('Nou full subrogacio 2023'!H47)/100</f>
        <v>1</v>
      </c>
      <c r="AB9" s="269">
        <f t="shared" si="17"/>
        <v>30166.87125</v>
      </c>
    </row>
    <row r="10" spans="1:28" s="26" customFormat="1">
      <c r="A10" s="330" t="s">
        <v>328</v>
      </c>
      <c r="B10" s="332">
        <v>1</v>
      </c>
      <c r="C10" s="333">
        <v>1</v>
      </c>
      <c r="D10" s="241">
        <f t="shared" si="0"/>
        <v>23786.6</v>
      </c>
      <c r="E10" s="267">
        <f>'Nou full subrogacio 2023'!L48</f>
        <v>23786.6</v>
      </c>
      <c r="F10" s="20">
        <f t="shared" si="1"/>
        <v>23786.6</v>
      </c>
      <c r="G10" s="20">
        <f t="shared" si="2"/>
        <v>7730.6449999999995</v>
      </c>
      <c r="H10" s="20">
        <f t="shared" si="3"/>
        <v>31517.244999999999</v>
      </c>
      <c r="I10" s="20">
        <f t="shared" si="4"/>
        <v>2251.2317857142857</v>
      </c>
      <c r="J10" s="270">
        <f t="shared" si="5"/>
        <v>33768.476785714287</v>
      </c>
      <c r="K10" s="11"/>
      <c r="L10" s="21">
        <v>1492.68</v>
      </c>
      <c r="M10" s="21">
        <f t="shared" si="6"/>
        <v>20897.52</v>
      </c>
      <c r="N10" s="21">
        <f t="shared" si="7"/>
        <v>6791.6940000000004</v>
      </c>
      <c r="O10" s="21">
        <f t="shared" si="8"/>
        <v>27689.214</v>
      </c>
      <c r="P10" s="21">
        <f t="shared" si="9"/>
        <v>1977.8009999999999</v>
      </c>
      <c r="Q10" s="21">
        <f t="shared" si="10"/>
        <v>29667.014999999999</v>
      </c>
      <c r="R10" s="168">
        <v>0.97499999999999998</v>
      </c>
      <c r="S10" s="269">
        <f t="shared" si="11"/>
        <v>28925.339625000001</v>
      </c>
      <c r="T10" s="11"/>
      <c r="U10" s="269">
        <v>1575.9</v>
      </c>
      <c r="V10" s="21">
        <f t="shared" si="12"/>
        <v>22062.600000000002</v>
      </c>
      <c r="W10" s="21">
        <f t="shared" si="13"/>
        <v>7170.3450000000012</v>
      </c>
      <c r="X10" s="21">
        <f t="shared" si="14"/>
        <v>29232.945000000003</v>
      </c>
      <c r="Y10" s="21">
        <f t="shared" si="15"/>
        <v>2088.0675000000001</v>
      </c>
      <c r="Z10" s="21">
        <f t="shared" si="16"/>
        <v>31321.012500000004</v>
      </c>
      <c r="AA10" s="271">
        <f>AVERAGE('Nou full subrogacio 2023'!H48)/100</f>
        <v>1</v>
      </c>
      <c r="AB10" s="269">
        <f t="shared" si="17"/>
        <v>31321.012500000004</v>
      </c>
    </row>
    <row r="11" spans="1:28" s="26" customFormat="1">
      <c r="A11" s="330" t="s">
        <v>49</v>
      </c>
      <c r="B11" s="332">
        <v>1</v>
      </c>
      <c r="C11" s="333">
        <v>1</v>
      </c>
      <c r="D11" s="241">
        <f t="shared" si="0"/>
        <v>22275.72</v>
      </c>
      <c r="E11" s="267">
        <f>'Nou full subrogacio 2023'!L49</f>
        <v>22275.72</v>
      </c>
      <c r="F11" s="20">
        <f t="shared" si="1"/>
        <v>22275.72</v>
      </c>
      <c r="G11" s="20">
        <f t="shared" si="2"/>
        <v>7239.6090000000004</v>
      </c>
      <c r="H11" s="20">
        <f t="shared" si="3"/>
        <v>29515.329000000002</v>
      </c>
      <c r="I11" s="20">
        <f t="shared" si="4"/>
        <v>2108.237785714286</v>
      </c>
      <c r="J11" s="270">
        <f t="shared" si="5"/>
        <v>31623.566785714287</v>
      </c>
      <c r="K11" s="11"/>
      <c r="L11" s="21">
        <v>1492.68</v>
      </c>
      <c r="M11" s="21">
        <f t="shared" si="6"/>
        <v>20897.52</v>
      </c>
      <c r="N11" s="21">
        <f t="shared" si="7"/>
        <v>6791.6940000000004</v>
      </c>
      <c r="O11" s="21">
        <f t="shared" si="8"/>
        <v>27689.214</v>
      </c>
      <c r="P11" s="21">
        <f t="shared" si="9"/>
        <v>1977.8009999999999</v>
      </c>
      <c r="Q11" s="21">
        <f t="shared" si="10"/>
        <v>29667.014999999999</v>
      </c>
      <c r="R11" s="168">
        <v>1</v>
      </c>
      <c r="S11" s="269">
        <f t="shared" si="11"/>
        <v>29667.014999999999</v>
      </c>
      <c r="T11" s="11"/>
      <c r="U11" s="269">
        <v>1575.9</v>
      </c>
      <c r="V11" s="21">
        <f t="shared" si="12"/>
        <v>22062.600000000002</v>
      </c>
      <c r="W11" s="21">
        <f t="shared" si="13"/>
        <v>7170.3450000000012</v>
      </c>
      <c r="X11" s="21">
        <f t="shared" si="14"/>
        <v>29232.945000000003</v>
      </c>
      <c r="Y11" s="21">
        <f t="shared" si="15"/>
        <v>2088.0675000000001</v>
      </c>
      <c r="Z11" s="21">
        <f t="shared" si="16"/>
        <v>31321.012500000004</v>
      </c>
      <c r="AA11" s="271">
        <f>AVERAGE('Nou full subrogacio 2023'!H49)/100</f>
        <v>1</v>
      </c>
      <c r="AB11" s="269">
        <f t="shared" si="17"/>
        <v>31321.012500000004</v>
      </c>
    </row>
    <row r="12" spans="1:28" s="26" customFormat="1">
      <c r="A12" s="330" t="s">
        <v>43</v>
      </c>
      <c r="B12" s="332">
        <v>2</v>
      </c>
      <c r="C12" s="333">
        <v>1</v>
      </c>
      <c r="D12" s="241">
        <f t="shared" si="0"/>
        <v>38921.919999999998</v>
      </c>
      <c r="E12" s="267">
        <f>'Nou full subrogacio 2023'!L50</f>
        <v>19460.96</v>
      </c>
      <c r="F12" s="20">
        <f t="shared" si="1"/>
        <v>19460.96</v>
      </c>
      <c r="G12" s="20">
        <f t="shared" si="2"/>
        <v>12649.624</v>
      </c>
      <c r="H12" s="20">
        <f t="shared" si="3"/>
        <v>51571.543999999994</v>
      </c>
      <c r="I12" s="20">
        <f t="shared" si="4"/>
        <v>3683.681714285714</v>
      </c>
      <c r="J12" s="270">
        <f t="shared" si="5"/>
        <v>55255.225714285705</v>
      </c>
      <c r="K12" s="11"/>
      <c r="L12" s="21">
        <v>1305.75</v>
      </c>
      <c r="M12" s="21">
        <f t="shared" si="6"/>
        <v>18280.5</v>
      </c>
      <c r="N12" s="21">
        <f t="shared" si="7"/>
        <v>5941.1625000000004</v>
      </c>
      <c r="O12" s="21">
        <f t="shared" si="8"/>
        <v>24221.662499999999</v>
      </c>
      <c r="P12" s="21">
        <f t="shared" si="9"/>
        <v>1730.1187499999999</v>
      </c>
      <c r="Q12" s="21">
        <f t="shared" si="10"/>
        <v>25951.78125</v>
      </c>
      <c r="R12" s="168">
        <v>0.9</v>
      </c>
      <c r="S12" s="269">
        <f t="shared" si="11"/>
        <v>23356.603125000001</v>
      </c>
      <c r="T12" s="11"/>
      <c r="U12" s="269">
        <v>1378.54</v>
      </c>
      <c r="V12" s="21">
        <f t="shared" si="12"/>
        <v>38599.119999999995</v>
      </c>
      <c r="W12" s="21">
        <f t="shared" si="13"/>
        <v>12544.713999999998</v>
      </c>
      <c r="X12" s="21">
        <f t="shared" si="14"/>
        <v>51143.833999999995</v>
      </c>
      <c r="Y12" s="21">
        <f t="shared" si="15"/>
        <v>3653.1309999999999</v>
      </c>
      <c r="Z12" s="21">
        <f t="shared" si="16"/>
        <v>54796.964999999997</v>
      </c>
      <c r="AA12" s="271">
        <f>AVERAGE('Nou full subrogacio 2023'!H50)/100</f>
        <v>1</v>
      </c>
      <c r="AB12" s="269">
        <f t="shared" si="17"/>
        <v>54796.964999999997</v>
      </c>
    </row>
    <row r="13" spans="1:28" ht="15" thickBot="1">
      <c r="A13" s="230" t="s">
        <v>50</v>
      </c>
      <c r="B13" s="334">
        <f>SUM(B3:B12)</f>
        <v>34</v>
      </c>
      <c r="C13" s="335">
        <f>SUM(C3:C12)</f>
        <v>33</v>
      </c>
      <c r="D13" s="331">
        <f>SUM(D3:D12)</f>
        <v>714908</v>
      </c>
      <c r="E13" s="234">
        <f>SUM(E3:E12)</f>
        <v>695447.03999999992</v>
      </c>
      <c r="F13" s="20">
        <f>E13/C13</f>
        <v>21074.152727272725</v>
      </c>
      <c r="G13" s="19">
        <f>SUM(G3:G12)</f>
        <v>232345.10000000006</v>
      </c>
      <c r="H13" s="19">
        <f>SUM(H3:H12)</f>
        <v>947253.10000000021</v>
      </c>
      <c r="I13" s="19">
        <f>SUM(I3:I12)</f>
        <v>67660.935714285719</v>
      </c>
      <c r="J13" s="270">
        <f>SUM(J3:J12)</f>
        <v>1014914.0357142859</v>
      </c>
      <c r="M13" s="12">
        <f>SUM(M3:M12)</f>
        <v>648229.82000000007</v>
      </c>
      <c r="N13" s="12">
        <f>SUM(N3:N12)</f>
        <v>210674.69149999999</v>
      </c>
      <c r="O13" s="12">
        <f t="shared" ref="O13:S13" si="18">SUM(O3:O12)</f>
        <v>858904.51150000014</v>
      </c>
      <c r="P13" s="12">
        <f t="shared" si="18"/>
        <v>61350.322249999997</v>
      </c>
      <c r="Q13" s="12">
        <f t="shared" si="18"/>
        <v>920254.83375000011</v>
      </c>
      <c r="S13" s="22">
        <f t="shared" si="18"/>
        <v>889603.96435350005</v>
      </c>
      <c r="U13" s="246"/>
      <c r="V13" s="12">
        <f>SUM(V3:V12)</f>
        <v>703667.99999999988</v>
      </c>
      <c r="W13" s="12">
        <f>SUM(W3:W12)</f>
        <v>228692.1</v>
      </c>
      <c r="X13" s="12">
        <f t="shared" ref="X13:Z13" si="19">SUM(X3:X12)</f>
        <v>932360.1</v>
      </c>
      <c r="Y13" s="12">
        <f t="shared" si="19"/>
        <v>66597.149999999994</v>
      </c>
      <c r="Z13" s="12">
        <f t="shared" si="19"/>
        <v>998957.24999999988</v>
      </c>
      <c r="AB13" s="22">
        <f t="shared" ref="AB13" si="20">SUM(AB3:AB12)</f>
        <v>978146.13749999984</v>
      </c>
    </row>
    <row r="14" spans="1:28">
      <c r="B14" s="328"/>
      <c r="C14" s="328"/>
    </row>
    <row r="15" spans="1:28" ht="15" thickBot="1">
      <c r="A15" s="10" t="s">
        <v>53</v>
      </c>
      <c r="B15" s="328"/>
      <c r="C15" s="328"/>
    </row>
    <row r="16" spans="1:28">
      <c r="A16" s="10" t="s">
        <v>62</v>
      </c>
      <c r="B16" s="339">
        <f>B17+B20+B23</f>
        <v>34</v>
      </c>
      <c r="C16" s="37">
        <f>C17+C20+C23</f>
        <v>33</v>
      </c>
      <c r="E16" s="9">
        <f>E17+E20+E23</f>
        <v>714908.00000000012</v>
      </c>
      <c r="F16" s="12">
        <f>E16/B16</f>
        <v>21026.705882352944</v>
      </c>
      <c r="J16" s="9">
        <f>J17+J20+J23</f>
        <v>1014914.0357142858</v>
      </c>
    </row>
    <row r="17" spans="1:24">
      <c r="A17" s="8" t="s">
        <v>54</v>
      </c>
      <c r="B17" s="337">
        <f>B18+B19</f>
        <v>10</v>
      </c>
      <c r="C17" s="37">
        <f>C18+C19</f>
        <v>9</v>
      </c>
      <c r="E17" s="9">
        <f>E18+E19</f>
        <v>197307.34000000003</v>
      </c>
      <c r="F17" s="12">
        <f>E17/B17</f>
        <v>19730.734000000004</v>
      </c>
      <c r="J17" s="9">
        <f>J18+J19</f>
        <v>280105.95589285716</v>
      </c>
    </row>
    <row r="18" spans="1:24">
      <c r="A18" t="s">
        <v>55</v>
      </c>
      <c r="B18" s="336">
        <f>B7+B12</f>
        <v>4</v>
      </c>
      <c r="C18" s="256">
        <f>C7+C12</f>
        <v>3</v>
      </c>
      <c r="D18" s="11"/>
      <c r="E18" s="7">
        <f>D7+D12</f>
        <v>87952.66</v>
      </c>
      <c r="F18" s="12">
        <f t="shared" ref="F18:F25" si="21">E18/B18</f>
        <v>21988.165000000001</v>
      </c>
      <c r="J18" s="7">
        <f>J7+J12</f>
        <v>124861.36553571429</v>
      </c>
    </row>
    <row r="19" spans="1:24">
      <c r="A19" t="s">
        <v>56</v>
      </c>
      <c r="B19" s="214">
        <f>B5</f>
        <v>6</v>
      </c>
      <c r="C19" s="328">
        <f>C5</f>
        <v>6</v>
      </c>
      <c r="E19" s="7">
        <f>D5</f>
        <v>109354.68000000002</v>
      </c>
      <c r="F19" s="12">
        <f t="shared" si="21"/>
        <v>18225.780000000002</v>
      </c>
      <c r="J19" s="7">
        <f>J5</f>
        <v>155244.59035714288</v>
      </c>
      <c r="U19" t="s">
        <v>284</v>
      </c>
    </row>
    <row r="20" spans="1:24">
      <c r="A20" s="8" t="s">
        <v>57</v>
      </c>
      <c r="B20" s="337">
        <f>B21+B22</f>
        <v>17</v>
      </c>
      <c r="C20" s="37">
        <f>C21+C22</f>
        <v>17</v>
      </c>
      <c r="D20" s="8"/>
      <c r="E20" s="9">
        <f>E21+E22</f>
        <v>371030.50000000012</v>
      </c>
      <c r="F20" s="12">
        <f t="shared" si="21"/>
        <v>21825.323529411773</v>
      </c>
      <c r="J20" s="9">
        <f>J21+J22</f>
        <v>526730.79910714296</v>
      </c>
      <c r="P20" t="s">
        <v>269</v>
      </c>
      <c r="X20" t="s">
        <v>270</v>
      </c>
    </row>
    <row r="21" spans="1:24">
      <c r="A21" t="s">
        <v>58</v>
      </c>
      <c r="B21" s="214">
        <f>B8</f>
        <v>16</v>
      </c>
      <c r="C21" s="328">
        <f>C8</f>
        <v>16</v>
      </c>
      <c r="E21" s="7">
        <f>D8</f>
        <v>348754.78000000009</v>
      </c>
      <c r="F21" s="12">
        <f>E21/B21</f>
        <v>21797.173750000005</v>
      </c>
      <c r="J21" s="7">
        <f>J8</f>
        <v>495107.23232142872</v>
      </c>
      <c r="K21" s="2"/>
    </row>
    <row r="22" spans="1:24">
      <c r="A22" t="s">
        <v>59</v>
      </c>
      <c r="B22" s="214">
        <f>B11</f>
        <v>1</v>
      </c>
      <c r="C22" s="328">
        <f>C11</f>
        <v>1</v>
      </c>
      <c r="E22" s="7">
        <f>D11</f>
        <v>22275.72</v>
      </c>
      <c r="F22" s="12">
        <f t="shared" si="21"/>
        <v>22275.72</v>
      </c>
      <c r="J22" s="7">
        <f>J11</f>
        <v>31623.566785714287</v>
      </c>
    </row>
    <row r="23" spans="1:24">
      <c r="A23" s="8" t="s">
        <v>60</v>
      </c>
      <c r="B23" s="337">
        <f>B25+B24</f>
        <v>7</v>
      </c>
      <c r="C23" s="37">
        <f>C25+C24</f>
        <v>7</v>
      </c>
      <c r="D23" s="8"/>
      <c r="E23" s="9">
        <f>E24+E25</f>
        <v>146570.16</v>
      </c>
      <c r="F23" s="12">
        <f t="shared" si="21"/>
        <v>20938.594285714287</v>
      </c>
      <c r="J23" s="9">
        <f>J25+J24</f>
        <v>208077.28071428571</v>
      </c>
    </row>
    <row r="24" spans="1:24">
      <c r="A24" t="s">
        <v>61</v>
      </c>
      <c r="B24" s="214">
        <f>B10+B3+B4+B6</f>
        <v>6</v>
      </c>
      <c r="C24" s="328">
        <f>C10+C3+C4+C6</f>
        <v>6</v>
      </c>
      <c r="E24" s="7">
        <f>D10+D3+D4+D6</f>
        <v>120570.22</v>
      </c>
      <c r="F24" s="12">
        <f t="shared" si="21"/>
        <v>20095.036666666667</v>
      </c>
      <c r="J24" s="7">
        <f>J10+J3+J4+J6</f>
        <v>171166.65160714285</v>
      </c>
    </row>
    <row r="25" spans="1:24">
      <c r="A25" t="s">
        <v>47</v>
      </c>
      <c r="B25" s="214">
        <f>B9</f>
        <v>1</v>
      </c>
      <c r="C25" s="328">
        <f>C9</f>
        <v>1</v>
      </c>
      <c r="E25" s="7">
        <f>D9</f>
        <v>25999.94</v>
      </c>
      <c r="F25" s="12">
        <f t="shared" si="21"/>
        <v>25999.94</v>
      </c>
      <c r="J25" s="7">
        <f>J9</f>
        <v>36910.629107142857</v>
      </c>
    </row>
    <row r="26" spans="1:24" ht="15" thickBot="1">
      <c r="A26" t="s">
        <v>50</v>
      </c>
      <c r="B26" s="338">
        <f>B17+B20+B23</f>
        <v>34</v>
      </c>
      <c r="C26" s="37">
        <f>C17+C20+C23</f>
        <v>33</v>
      </c>
      <c r="E26"/>
    </row>
    <row r="27" spans="1:24">
      <c r="B27" s="328"/>
      <c r="C27" s="328"/>
      <c r="J27"/>
    </row>
  </sheetData>
  <pageMargins left="0.7" right="0.7" top="0.75" bottom="0.75" header="0.3" footer="0.3"/>
  <pageSetup paperSize="9" orientation="portrait" verticalDpi="0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34"/>
  <sheetViews>
    <sheetView topLeftCell="A7" workbookViewId="0">
      <selection activeCell="G32" sqref="G32"/>
    </sheetView>
  </sheetViews>
  <sheetFormatPr defaultColWidth="9.1796875" defaultRowHeight="14.5"/>
  <cols>
    <col min="3" max="3" width="34.453125" bestFit="1" customWidth="1"/>
    <col min="4" max="5" width="15.54296875" bestFit="1" customWidth="1"/>
    <col min="6" max="6" width="12.26953125" bestFit="1" customWidth="1"/>
    <col min="7" max="7" width="11.54296875" customWidth="1"/>
  </cols>
  <sheetData>
    <row r="1" spans="1:10">
      <c r="A1" s="34" t="s">
        <v>113</v>
      </c>
      <c r="B1" s="34"/>
      <c r="C1" s="34"/>
      <c r="D1" s="34"/>
      <c r="E1" s="34"/>
      <c r="F1" s="34"/>
      <c r="G1" s="34"/>
      <c r="H1" s="34"/>
      <c r="I1" s="34"/>
      <c r="J1" s="34"/>
    </row>
    <row r="3" spans="1:10">
      <c r="A3" s="35" t="s">
        <v>114</v>
      </c>
      <c r="B3" s="35"/>
      <c r="C3" s="35" t="s">
        <v>115</v>
      </c>
      <c r="D3" s="35"/>
      <c r="E3" s="35"/>
      <c r="F3" s="36"/>
      <c r="G3" s="35" t="s">
        <v>116</v>
      </c>
      <c r="J3" t="s">
        <v>117</v>
      </c>
    </row>
    <row r="4" spans="1:10">
      <c r="A4" s="8"/>
      <c r="F4" s="33"/>
      <c r="G4" s="37"/>
    </row>
    <row r="5" spans="1:10">
      <c r="A5" s="38" t="s">
        <v>118</v>
      </c>
      <c r="B5" s="39" t="s">
        <v>119</v>
      </c>
      <c r="C5" s="40" t="s">
        <v>120</v>
      </c>
      <c r="D5" s="40" t="s">
        <v>121</v>
      </c>
      <c r="E5" s="40" t="s">
        <v>122</v>
      </c>
      <c r="F5" s="41" t="s">
        <v>123</v>
      </c>
      <c r="G5" s="42" t="s">
        <v>124</v>
      </c>
      <c r="H5" s="43" t="s">
        <v>125</v>
      </c>
      <c r="J5">
        <f>(1.3+1.1+1.1+1.3)/4</f>
        <v>1.2000000000000002</v>
      </c>
    </row>
    <row r="6" spans="1:10">
      <c r="A6" s="38"/>
      <c r="B6" s="39"/>
      <c r="C6" s="40">
        <v>0</v>
      </c>
      <c r="D6" s="40">
        <v>1000</v>
      </c>
      <c r="E6" s="40">
        <v>1000</v>
      </c>
      <c r="F6" s="41">
        <f>+D6-E6</f>
        <v>0</v>
      </c>
      <c r="G6" s="42">
        <v>0</v>
      </c>
      <c r="H6" s="44"/>
    </row>
    <row r="7" spans="1:10" ht="18.5">
      <c r="A7" s="45">
        <v>2022</v>
      </c>
      <c r="B7" s="46"/>
      <c r="C7" s="69">
        <f>(E14-7000)/7/1000</f>
        <v>0.1065614699683886</v>
      </c>
      <c r="D7" s="48">
        <f>+D6+D6*$C$7</f>
        <v>1106.5614699683886</v>
      </c>
      <c r="E7" s="49">
        <f t="shared" ref="E7:E13" si="0">+E6+E6*G7</f>
        <v>1040</v>
      </c>
      <c r="F7" s="41">
        <f t="shared" ref="F7:F13" si="1">+D7-E7</f>
        <v>66.561469968388565</v>
      </c>
      <c r="G7" s="50">
        <v>0.04</v>
      </c>
      <c r="H7" s="44" t="s">
        <v>126</v>
      </c>
    </row>
    <row r="8" spans="1:10">
      <c r="A8" s="45">
        <v>2023</v>
      </c>
      <c r="B8" s="46"/>
      <c r="C8" s="51"/>
      <c r="D8" s="48">
        <f>+D7</f>
        <v>1106.5614699683886</v>
      </c>
      <c r="E8" s="49">
        <f t="shared" si="0"/>
        <v>1071.2</v>
      </c>
      <c r="F8" s="41">
        <f t="shared" si="1"/>
        <v>35.361469968388519</v>
      </c>
      <c r="G8" s="50">
        <v>0.03</v>
      </c>
      <c r="H8" s="44" t="s">
        <v>126</v>
      </c>
    </row>
    <row r="9" spans="1:10">
      <c r="A9" s="45">
        <v>2024</v>
      </c>
      <c r="B9" s="46"/>
      <c r="C9" s="52"/>
      <c r="D9" s="48">
        <f t="shared" ref="D9:D13" si="2">+D8</f>
        <v>1106.5614699683886</v>
      </c>
      <c r="E9" s="49">
        <f t="shared" si="0"/>
        <v>1092.624</v>
      </c>
      <c r="F9" s="41">
        <f t="shared" si="1"/>
        <v>13.937469968388541</v>
      </c>
      <c r="G9" s="50">
        <v>0.02</v>
      </c>
      <c r="H9" s="44" t="s">
        <v>126</v>
      </c>
    </row>
    <row r="10" spans="1:10">
      <c r="A10" s="45">
        <v>2025</v>
      </c>
      <c r="B10" s="46"/>
      <c r="C10" s="51"/>
      <c r="D10" s="48">
        <f t="shared" si="2"/>
        <v>1106.5614699683886</v>
      </c>
      <c r="E10" s="49">
        <f t="shared" si="0"/>
        <v>1114.47648</v>
      </c>
      <c r="F10" s="41">
        <f t="shared" si="1"/>
        <v>-7.9150100316114731</v>
      </c>
      <c r="G10" s="50">
        <v>0.02</v>
      </c>
      <c r="H10" s="44" t="s">
        <v>126</v>
      </c>
    </row>
    <row r="11" spans="1:10">
      <c r="A11" s="45">
        <v>2026</v>
      </c>
      <c r="B11" s="113"/>
      <c r="C11" s="114"/>
      <c r="D11" s="48">
        <f t="shared" si="2"/>
        <v>1106.5614699683886</v>
      </c>
      <c r="E11" s="49">
        <f t="shared" si="0"/>
        <v>1131.1936272</v>
      </c>
      <c r="F11" s="41">
        <f t="shared" ref="F11" si="3">+D11-E11</f>
        <v>-24.632157231611473</v>
      </c>
      <c r="G11" s="50">
        <v>1.4999999999999999E-2</v>
      </c>
      <c r="H11" s="44" t="s">
        <v>126</v>
      </c>
    </row>
    <row r="12" spans="1:10">
      <c r="A12" s="45">
        <v>2027</v>
      </c>
      <c r="B12" s="46"/>
      <c r="C12" s="52"/>
      <c r="D12" s="48">
        <f t="shared" si="2"/>
        <v>1106.5614699683886</v>
      </c>
      <c r="E12" s="49">
        <f t="shared" si="0"/>
        <v>1142.5055634719999</v>
      </c>
      <c r="F12" s="41">
        <f t="shared" si="1"/>
        <v>-35.944093503611384</v>
      </c>
      <c r="G12" s="50">
        <v>0.01</v>
      </c>
      <c r="H12" s="44" t="s">
        <v>126</v>
      </c>
    </row>
    <row r="13" spans="1:10">
      <c r="A13" s="45">
        <v>2028</v>
      </c>
      <c r="B13" s="113"/>
      <c r="C13" s="114"/>
      <c r="D13" s="48">
        <f t="shared" si="2"/>
        <v>1106.5614699683886</v>
      </c>
      <c r="E13" s="49">
        <f t="shared" si="0"/>
        <v>1153.9306191067199</v>
      </c>
      <c r="F13" s="41">
        <f t="shared" si="1"/>
        <v>-47.369149138331295</v>
      </c>
      <c r="G13" s="50">
        <v>0.01</v>
      </c>
      <c r="H13" s="44" t="s">
        <v>126</v>
      </c>
    </row>
    <row r="14" spans="1:10" ht="18.5">
      <c r="A14" s="53" t="s">
        <v>127</v>
      </c>
      <c r="B14" s="54"/>
      <c r="C14" s="55"/>
      <c r="D14" s="56">
        <f>SUM(D7:D13)</f>
        <v>7745.9302897787193</v>
      </c>
      <c r="E14" s="57">
        <f>SUM(E7:E13)</f>
        <v>7745.9302897787202</v>
      </c>
      <c r="F14" s="58">
        <f>+D14-E14</f>
        <v>0</v>
      </c>
      <c r="G14" s="59"/>
      <c r="H14" s="44"/>
    </row>
    <row r="15" spans="1:10">
      <c r="A15" s="45"/>
      <c r="B15" s="46"/>
      <c r="C15" s="52"/>
      <c r="D15" s="52"/>
      <c r="E15" s="52"/>
      <c r="F15" s="60"/>
      <c r="G15" s="61"/>
      <c r="H15" s="44"/>
    </row>
    <row r="19" spans="1:10">
      <c r="A19" s="34" t="s">
        <v>266</v>
      </c>
      <c r="B19" s="34"/>
      <c r="C19" s="34"/>
      <c r="D19" s="34"/>
      <c r="E19" s="34"/>
      <c r="F19" s="34"/>
      <c r="G19" s="34"/>
      <c r="H19" s="34"/>
      <c r="I19" s="34"/>
      <c r="J19" s="34"/>
    </row>
    <row r="20" spans="1:10">
      <c r="A20" s="34" t="s">
        <v>267</v>
      </c>
      <c r="B20" s="34"/>
      <c r="C20" s="34"/>
      <c r="D20" s="34"/>
      <c r="E20" s="34"/>
      <c r="F20" s="34"/>
      <c r="G20" s="34"/>
      <c r="H20" s="34"/>
      <c r="I20" s="34"/>
      <c r="J20" s="34"/>
    </row>
    <row r="22" spans="1:10">
      <c r="A22" s="35" t="s">
        <v>114</v>
      </c>
      <c r="B22" s="35"/>
      <c r="C22" s="35" t="s">
        <v>115</v>
      </c>
      <c r="D22" s="35"/>
      <c r="E22" s="35"/>
      <c r="F22" s="36"/>
      <c r="G22" s="35" t="s">
        <v>116</v>
      </c>
      <c r="J22" t="s">
        <v>117</v>
      </c>
    </row>
    <row r="23" spans="1:10">
      <c r="A23" s="8"/>
      <c r="F23" s="33"/>
      <c r="G23" s="37"/>
    </row>
    <row r="24" spans="1:10">
      <c r="A24" s="38" t="s">
        <v>118</v>
      </c>
      <c r="B24" s="39" t="s">
        <v>119</v>
      </c>
      <c r="C24" s="40" t="s">
        <v>120</v>
      </c>
      <c r="D24" s="40" t="s">
        <v>121</v>
      </c>
      <c r="E24" s="40" t="s">
        <v>122</v>
      </c>
      <c r="F24" s="41" t="s">
        <v>123</v>
      </c>
      <c r="G24" s="42" t="s">
        <v>124</v>
      </c>
      <c r="H24" s="43" t="s">
        <v>125</v>
      </c>
      <c r="J24">
        <f>(1.3+1.1+1.1+1.3)/4</f>
        <v>1.2000000000000002</v>
      </c>
    </row>
    <row r="25" spans="1:10">
      <c r="A25" s="38"/>
      <c r="B25" s="39"/>
      <c r="C25" s="40">
        <v>0</v>
      </c>
      <c r="D25" s="40">
        <v>1000</v>
      </c>
      <c r="E25" s="40">
        <v>1000</v>
      </c>
      <c r="F25" s="41">
        <f>+D25-E25</f>
        <v>0</v>
      </c>
      <c r="G25" s="42">
        <v>0</v>
      </c>
      <c r="H25" s="44"/>
    </row>
    <row r="26" spans="1:10" ht="18.5">
      <c r="A26" s="45">
        <v>2022</v>
      </c>
      <c r="B26" s="46"/>
      <c r="C26" s="69">
        <f>(E33-7000)/7/1000</f>
        <v>0.10246707627042853</v>
      </c>
      <c r="D26" s="48">
        <f>+D25+D25*$C$26</f>
        <v>1102.4670762704286</v>
      </c>
      <c r="E26" s="49">
        <f t="shared" ref="E26:E32" si="4">+E25+E25*G26</f>
        <v>1030</v>
      </c>
      <c r="F26" s="41">
        <f t="shared" ref="F26:F32" si="5">+D26-E26</f>
        <v>72.467076270428606</v>
      </c>
      <c r="G26" s="50">
        <v>0.03</v>
      </c>
      <c r="H26" s="44" t="s">
        <v>126</v>
      </c>
    </row>
    <row r="27" spans="1:10">
      <c r="A27" s="45">
        <v>2023</v>
      </c>
      <c r="B27" s="46"/>
      <c r="C27" s="51"/>
      <c r="D27" s="48">
        <f t="shared" ref="D27:D32" si="6">+D26</f>
        <v>1102.4670762704286</v>
      </c>
      <c r="E27" s="49">
        <f t="shared" si="4"/>
        <v>1055.75</v>
      </c>
      <c r="F27" s="41">
        <f t="shared" si="5"/>
        <v>46.717076270428606</v>
      </c>
      <c r="G27" s="50">
        <v>2.5000000000000001E-2</v>
      </c>
      <c r="H27" s="44" t="s">
        <v>126</v>
      </c>
    </row>
    <row r="28" spans="1:10">
      <c r="A28" s="45">
        <v>2024</v>
      </c>
      <c r="B28" s="46"/>
      <c r="C28" s="52"/>
      <c r="D28" s="48">
        <f t="shared" si="6"/>
        <v>1102.4670762704286</v>
      </c>
      <c r="E28" s="49">
        <f t="shared" si="4"/>
        <v>1082.14375</v>
      </c>
      <c r="F28" s="41">
        <f t="shared" si="5"/>
        <v>20.323326270428652</v>
      </c>
      <c r="G28" s="50">
        <v>2.5000000000000001E-2</v>
      </c>
      <c r="H28" s="44" t="s">
        <v>126</v>
      </c>
    </row>
    <row r="29" spans="1:10">
      <c r="A29" s="45">
        <v>2025</v>
      </c>
      <c r="B29" s="46"/>
      <c r="C29" s="51"/>
      <c r="D29" s="48">
        <f t="shared" si="6"/>
        <v>1102.4670762704286</v>
      </c>
      <c r="E29" s="49">
        <f t="shared" si="4"/>
        <v>1103.786625</v>
      </c>
      <c r="F29" s="41">
        <f t="shared" si="5"/>
        <v>-1.3195487295713519</v>
      </c>
      <c r="G29" s="50">
        <v>0.02</v>
      </c>
      <c r="H29" s="44" t="s">
        <v>126</v>
      </c>
    </row>
    <row r="30" spans="1:10">
      <c r="A30" s="45">
        <v>2026</v>
      </c>
      <c r="B30" s="113"/>
      <c r="C30" s="114"/>
      <c r="D30" s="48">
        <f t="shared" si="6"/>
        <v>1102.4670762704286</v>
      </c>
      <c r="E30" s="49">
        <f t="shared" si="4"/>
        <v>1125.8623574999999</v>
      </c>
      <c r="F30" s="41">
        <f t="shared" si="5"/>
        <v>-23.39528122957131</v>
      </c>
      <c r="G30" s="50">
        <v>0.02</v>
      </c>
      <c r="H30" s="44" t="s">
        <v>126</v>
      </c>
    </row>
    <row r="31" spans="1:10">
      <c r="A31" s="45">
        <v>2027</v>
      </c>
      <c r="B31" s="46"/>
      <c r="C31" s="52"/>
      <c r="D31" s="48">
        <f t="shared" si="6"/>
        <v>1102.4670762704286</v>
      </c>
      <c r="E31" s="49">
        <f t="shared" si="4"/>
        <v>1148.3796046499999</v>
      </c>
      <c r="F31" s="41">
        <f t="shared" si="5"/>
        <v>-45.912528379571313</v>
      </c>
      <c r="G31" s="50">
        <v>0.02</v>
      </c>
      <c r="H31" s="44" t="s">
        <v>126</v>
      </c>
    </row>
    <row r="32" spans="1:10">
      <c r="A32" s="45">
        <v>2028</v>
      </c>
      <c r="B32" s="113"/>
      <c r="C32" s="114"/>
      <c r="D32" s="48">
        <f t="shared" si="6"/>
        <v>1102.4670762704286</v>
      </c>
      <c r="E32" s="49">
        <f t="shared" si="4"/>
        <v>1171.3471967429998</v>
      </c>
      <c r="F32" s="41">
        <f t="shared" si="5"/>
        <v>-68.880120472571207</v>
      </c>
      <c r="G32" s="50">
        <v>0.02</v>
      </c>
      <c r="H32" s="44" t="s">
        <v>126</v>
      </c>
    </row>
    <row r="33" spans="1:8" ht="18.5">
      <c r="A33" s="53" t="s">
        <v>127</v>
      </c>
      <c r="B33" s="54"/>
      <c r="C33" s="55"/>
      <c r="D33" s="56">
        <f>SUM(D26:D32)</f>
        <v>7717.2695338929989</v>
      </c>
      <c r="E33" s="57">
        <f>SUM(E26:E32)</f>
        <v>7717.2695338929998</v>
      </c>
      <c r="F33" s="58">
        <f>+D33-E33</f>
        <v>0</v>
      </c>
      <c r="G33" s="59"/>
      <c r="H33" s="44"/>
    </row>
    <row r="34" spans="1:8">
      <c r="A34" s="45"/>
      <c r="B34" s="46"/>
      <c r="C34" s="52"/>
      <c r="D34" s="52"/>
      <c r="E34" s="52"/>
      <c r="F34" s="60"/>
      <c r="G34" s="61"/>
      <c r="H34" s="44"/>
    </row>
  </sheetData>
  <pageMargins left="0.7" right="0.7" top="0.75" bottom="0.75" header="0.3" footer="0.3"/>
  <customProperties>
    <customPr name="EpmWorksheetKeyString_GUID" r:id="rId1"/>
  </customProperties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J49"/>
  <sheetViews>
    <sheetView topLeftCell="F4" workbookViewId="0">
      <selection activeCell="W9" sqref="W9"/>
    </sheetView>
  </sheetViews>
  <sheetFormatPr defaultColWidth="9.1796875" defaultRowHeight="14.5"/>
  <cols>
    <col min="3" max="3" width="34.453125" bestFit="1" customWidth="1"/>
    <col min="4" max="5" width="15.54296875" bestFit="1" customWidth="1"/>
    <col min="6" max="6" width="12.26953125" bestFit="1" customWidth="1"/>
    <col min="7" max="7" width="25" bestFit="1" customWidth="1"/>
    <col min="10" max="10" width="7.7265625" bestFit="1" customWidth="1"/>
    <col min="11" max="11" width="3" bestFit="1" customWidth="1"/>
    <col min="12" max="12" width="4" bestFit="1" customWidth="1"/>
    <col min="13" max="14" width="5" bestFit="1" customWidth="1"/>
    <col min="15" max="16" width="12" bestFit="1" customWidth="1"/>
    <col min="18" max="18" width="7.7265625" bestFit="1" customWidth="1"/>
    <col min="19" max="19" width="3" bestFit="1" customWidth="1"/>
    <col min="20" max="20" width="4" bestFit="1" customWidth="1"/>
    <col min="21" max="26" width="6.54296875" bestFit="1" customWidth="1"/>
  </cols>
  <sheetData>
    <row r="1" spans="1:36">
      <c r="A1" s="34" t="s">
        <v>128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36">
      <c r="A3" s="35" t="s">
        <v>114</v>
      </c>
      <c r="B3" s="35"/>
      <c r="C3" s="35" t="s">
        <v>115</v>
      </c>
      <c r="D3" s="35"/>
      <c r="E3" s="35"/>
      <c r="F3" s="36"/>
      <c r="G3" s="35" t="s">
        <v>116</v>
      </c>
    </row>
    <row r="4" spans="1:36">
      <c r="A4" s="8"/>
      <c r="F4" s="33"/>
      <c r="G4" s="37"/>
      <c r="AD4" s="518" t="s">
        <v>336</v>
      </c>
      <c r="AE4" s="518"/>
      <c r="AF4" s="518"/>
      <c r="AG4" s="518"/>
      <c r="AH4" s="518"/>
      <c r="AI4" s="518"/>
      <c r="AJ4" s="518"/>
    </row>
    <row r="5" spans="1:36">
      <c r="A5" s="38" t="s">
        <v>118</v>
      </c>
      <c r="B5" s="39" t="s">
        <v>119</v>
      </c>
      <c r="C5" s="40" t="s">
        <v>120</v>
      </c>
      <c r="D5" s="40" t="s">
        <v>121</v>
      </c>
      <c r="E5" s="40" t="s">
        <v>122</v>
      </c>
      <c r="F5" s="41" t="s">
        <v>123</v>
      </c>
      <c r="G5" s="42" t="s">
        <v>124</v>
      </c>
      <c r="H5" s="43" t="s">
        <v>125</v>
      </c>
      <c r="J5" s="518" t="s">
        <v>224</v>
      </c>
      <c r="K5" s="518"/>
      <c r="L5" s="518"/>
      <c r="M5" s="518"/>
      <c r="N5" s="518"/>
      <c r="O5" s="518"/>
      <c r="P5" s="518"/>
      <c r="R5" s="519" t="s">
        <v>225</v>
      </c>
      <c r="S5" s="519"/>
      <c r="T5" s="519"/>
      <c r="U5" s="519"/>
      <c r="V5" s="519"/>
      <c r="W5" s="519"/>
      <c r="X5" s="519"/>
    </row>
    <row r="6" spans="1:36">
      <c r="A6" s="38"/>
      <c r="B6" s="39"/>
      <c r="C6" s="40">
        <v>0</v>
      </c>
      <c r="D6" s="40">
        <v>1000</v>
      </c>
      <c r="E6" s="40">
        <v>1000</v>
      </c>
      <c r="F6" s="41">
        <f>+D6-E6</f>
        <v>0</v>
      </c>
      <c r="G6" s="42">
        <v>0</v>
      </c>
      <c r="H6" s="44"/>
      <c r="J6" s="119"/>
      <c r="K6" s="126" t="s">
        <v>226</v>
      </c>
      <c r="L6" s="127" t="s">
        <v>227</v>
      </c>
      <c r="M6" s="126" t="s">
        <v>226</v>
      </c>
      <c r="N6" s="127" t="s">
        <v>227</v>
      </c>
      <c r="O6" s="126" t="s">
        <v>226</v>
      </c>
      <c r="P6" s="127" t="s">
        <v>227</v>
      </c>
      <c r="R6" s="119"/>
      <c r="S6" s="126" t="s">
        <v>226</v>
      </c>
      <c r="T6" s="127" t="s">
        <v>227</v>
      </c>
      <c r="U6" s="132" t="s">
        <v>226</v>
      </c>
      <c r="V6" s="133" t="s">
        <v>227</v>
      </c>
      <c r="W6" s="126" t="s">
        <v>226</v>
      </c>
      <c r="X6" s="127" t="s">
        <v>227</v>
      </c>
    </row>
    <row r="7" spans="1:36" ht="18.5">
      <c r="A7" s="45">
        <v>2022</v>
      </c>
      <c r="B7" s="46"/>
      <c r="C7" s="47">
        <f>(E14-7000)/7/1000</f>
        <v>0.27462800309954943</v>
      </c>
      <c r="D7" s="48">
        <f>+D6+D6*$C$7</f>
        <v>1274.6280030995495</v>
      </c>
      <c r="E7" s="49">
        <f>+E6+E6*G7</f>
        <v>1108.5</v>
      </c>
      <c r="F7" s="41">
        <f t="shared" ref="F7:F14" si="0">+D7-E7</f>
        <v>166.12800309954946</v>
      </c>
      <c r="G7" s="50">
        <v>0.1085</v>
      </c>
      <c r="H7" s="44" t="s">
        <v>126</v>
      </c>
      <c r="J7" s="122">
        <v>2022</v>
      </c>
      <c r="K7" s="117"/>
      <c r="L7" s="121"/>
      <c r="M7" s="120">
        <v>4.41</v>
      </c>
      <c r="N7" s="121"/>
      <c r="O7" s="120">
        <v>4.41</v>
      </c>
      <c r="P7" s="121"/>
      <c r="R7" s="122">
        <v>2022</v>
      </c>
      <c r="S7" s="117"/>
      <c r="T7" s="121"/>
      <c r="U7" s="128">
        <v>3.95</v>
      </c>
      <c r="V7" s="135"/>
      <c r="W7" s="128">
        <v>3.36</v>
      </c>
      <c r="X7" s="129"/>
      <c r="AD7" s="120">
        <v>588.41999999999996</v>
      </c>
      <c r="AE7" s="121"/>
      <c r="AH7" s="33">
        <v>6.2</v>
      </c>
      <c r="AI7" s="118">
        <v>0.35</v>
      </c>
      <c r="AJ7" s="144">
        <f>AH7*AI7</f>
        <v>2.17</v>
      </c>
    </row>
    <row r="8" spans="1:36">
      <c r="A8" s="45">
        <v>2023</v>
      </c>
      <c r="B8" s="46"/>
      <c r="C8" s="51"/>
      <c r="D8" s="48">
        <f>+D7</f>
        <v>1274.6280030995495</v>
      </c>
      <c r="E8" s="49">
        <f>+E7+E7*G8</f>
        <v>1206.6022499999999</v>
      </c>
      <c r="F8" s="41">
        <f t="shared" si="0"/>
        <v>68.025753099549547</v>
      </c>
      <c r="G8" s="50">
        <v>8.8499999999999995E-2</v>
      </c>
      <c r="H8" s="44" t="s">
        <v>126</v>
      </c>
      <c r="J8" s="122">
        <v>2023</v>
      </c>
      <c r="K8" s="117"/>
      <c r="L8" s="121"/>
      <c r="M8" s="122">
        <v>4.41</v>
      </c>
      <c r="N8" s="121"/>
      <c r="O8" s="122">
        <f>O7*(1+$G$8)</f>
        <v>4.8002850000000006</v>
      </c>
      <c r="P8" s="121"/>
      <c r="R8" s="122">
        <v>2023</v>
      </c>
      <c r="S8" s="117"/>
      <c r="T8" s="121"/>
      <c r="U8" s="134">
        <f>U7</f>
        <v>3.95</v>
      </c>
      <c r="V8" s="135"/>
      <c r="W8" s="130">
        <f>Z33</f>
        <v>3.5631792</v>
      </c>
      <c r="X8" s="129"/>
      <c r="AD8" s="122">
        <f>AD7*(1+$G$8)</f>
        <v>640.49516999999992</v>
      </c>
      <c r="AE8" s="121"/>
      <c r="AI8" s="118">
        <v>0.65</v>
      </c>
      <c r="AJ8" s="144">
        <f>AH7*AI8</f>
        <v>4.03</v>
      </c>
    </row>
    <row r="9" spans="1:36">
      <c r="A9" s="45">
        <v>2024</v>
      </c>
      <c r="B9" s="46"/>
      <c r="C9" s="52"/>
      <c r="D9" s="48">
        <f>+D8</f>
        <v>1274.6280030995495</v>
      </c>
      <c r="E9" s="49">
        <f>+E8+E8*G9</f>
        <v>1272.3620726249999</v>
      </c>
      <c r="F9" s="41">
        <f t="shared" si="0"/>
        <v>2.2659304745495774</v>
      </c>
      <c r="G9" s="50">
        <v>5.45E-2</v>
      </c>
      <c r="H9" s="44" t="s">
        <v>126</v>
      </c>
      <c r="J9" s="122">
        <v>2024</v>
      </c>
      <c r="K9" s="117"/>
      <c r="L9" s="121"/>
      <c r="M9" s="122">
        <v>4.41</v>
      </c>
      <c r="N9" s="121"/>
      <c r="O9" s="122">
        <f>O8*(1+$G$9)</f>
        <v>5.0619005325000002</v>
      </c>
      <c r="P9" s="121"/>
      <c r="R9" s="122">
        <v>2024</v>
      </c>
      <c r="S9" s="117">
        <v>10</v>
      </c>
      <c r="T9" s="121"/>
      <c r="U9" s="128">
        <f>U8</f>
        <v>3.95</v>
      </c>
      <c r="V9" s="135"/>
      <c r="W9" s="352">
        <f>W8*(1+G9)</f>
        <v>3.7573724664000001</v>
      </c>
      <c r="X9" s="353"/>
      <c r="AD9" s="122">
        <f>AD8*(1+$G$9)</f>
        <v>675.40215676499986</v>
      </c>
      <c r="AE9" s="121"/>
      <c r="AH9" s="33">
        <v>6.21</v>
      </c>
      <c r="AI9" s="118">
        <v>0.35</v>
      </c>
      <c r="AJ9" s="144">
        <f>AH9*AI9</f>
        <v>2.1734999999999998</v>
      </c>
    </row>
    <row r="10" spans="1:36">
      <c r="A10" s="45">
        <v>2025</v>
      </c>
      <c r="B10" s="46"/>
      <c r="C10" s="51"/>
      <c r="D10" s="48">
        <f>+D8</f>
        <v>1274.6280030995495</v>
      </c>
      <c r="E10" s="49">
        <f>+E8+E8*G10</f>
        <v>1256.676243375</v>
      </c>
      <c r="F10" s="41">
        <f t="shared" ref="F10" si="1">+D10-E10</f>
        <v>17.951759724549447</v>
      </c>
      <c r="G10" s="50">
        <v>4.1500000000000002E-2</v>
      </c>
      <c r="H10" s="44" t="s">
        <v>126</v>
      </c>
      <c r="J10" s="122">
        <v>2025</v>
      </c>
      <c r="K10" s="117"/>
      <c r="L10" s="121"/>
      <c r="M10" s="122">
        <v>4.41</v>
      </c>
      <c r="N10" s="121"/>
      <c r="O10" s="122">
        <f>O9*(1+$G$10)</f>
        <v>5.2719694045987504</v>
      </c>
      <c r="P10" s="121">
        <f>O10</f>
        <v>5.2719694045987504</v>
      </c>
      <c r="R10" s="122">
        <v>2025</v>
      </c>
      <c r="S10" s="117">
        <v>12</v>
      </c>
      <c r="T10" s="121"/>
      <c r="U10" s="134">
        <f>U9</f>
        <v>3.95</v>
      </c>
      <c r="V10" s="135"/>
      <c r="W10" s="354">
        <f>W9*(1+G10)</f>
        <v>3.9133034237556004</v>
      </c>
      <c r="X10" s="353"/>
      <c r="AD10" s="122">
        <f>AD9*(1+$G$10)</f>
        <v>703.43134627074744</v>
      </c>
      <c r="AE10" s="121">
        <f>AD10</f>
        <v>703.43134627074744</v>
      </c>
      <c r="AI10" s="118">
        <v>0.65</v>
      </c>
      <c r="AJ10" s="144">
        <f>AH9*AI10</f>
        <v>4.0365000000000002</v>
      </c>
    </row>
    <row r="11" spans="1:36">
      <c r="A11" s="45">
        <v>2026</v>
      </c>
      <c r="B11" s="46"/>
      <c r="C11" s="51"/>
      <c r="D11" s="48">
        <f>+D9</f>
        <v>1274.6280030995495</v>
      </c>
      <c r="E11" s="49">
        <f>+E9+E9*G11</f>
        <v>1319.4394693121249</v>
      </c>
      <c r="F11" s="41">
        <f t="shared" si="0"/>
        <v>-44.811466212575397</v>
      </c>
      <c r="G11" s="50">
        <v>3.6999999999999998E-2</v>
      </c>
      <c r="H11" s="44" t="s">
        <v>126</v>
      </c>
      <c r="J11" s="122">
        <v>2026</v>
      </c>
      <c r="K11" s="117"/>
      <c r="L11" s="121"/>
      <c r="M11" s="122">
        <v>4.41</v>
      </c>
      <c r="N11" s="121">
        <v>4.41</v>
      </c>
      <c r="O11" s="122"/>
      <c r="P11" s="121">
        <f>O10*(1+$G$11)</f>
        <v>5.467032272568904</v>
      </c>
      <c r="R11" s="122">
        <v>2026</v>
      </c>
      <c r="S11" s="117">
        <v>2</v>
      </c>
      <c r="T11" s="121">
        <v>10</v>
      </c>
      <c r="U11" s="134">
        <f>U10</f>
        <v>3.95</v>
      </c>
      <c r="V11" s="135">
        <f>U11</f>
        <v>3.95</v>
      </c>
      <c r="W11" s="354">
        <f>W10*(1+G11)</f>
        <v>4.0580956504345576</v>
      </c>
      <c r="X11" s="353">
        <f>W11</f>
        <v>4.0580956504345576</v>
      </c>
      <c r="AD11" s="122"/>
      <c r="AE11" s="121">
        <f>AD10*(1+$G$11)</f>
        <v>729.45830608276503</v>
      </c>
      <c r="AH11" s="33">
        <v>6.22</v>
      </c>
      <c r="AI11" s="118">
        <v>0.35</v>
      </c>
      <c r="AJ11" s="144">
        <f>AH11*AI11</f>
        <v>2.1769999999999996</v>
      </c>
    </row>
    <row r="12" spans="1:36">
      <c r="A12" s="45">
        <v>2027</v>
      </c>
      <c r="B12" s="46"/>
      <c r="C12" s="52"/>
      <c r="D12" s="48">
        <f>+D11</f>
        <v>1274.6280030995495</v>
      </c>
      <c r="E12" s="49">
        <f>+E11+E11*G12</f>
        <v>1359.0226533914886</v>
      </c>
      <c r="F12" s="41">
        <f t="shared" si="0"/>
        <v>-84.394650291939115</v>
      </c>
      <c r="G12" s="50">
        <v>0.03</v>
      </c>
      <c r="H12" s="44" t="s">
        <v>126</v>
      </c>
      <c r="J12" s="122">
        <v>2027</v>
      </c>
      <c r="K12" s="117"/>
      <c r="L12" s="121"/>
      <c r="M12" s="122"/>
      <c r="N12" s="121">
        <v>4.41</v>
      </c>
      <c r="O12" s="122"/>
      <c r="P12" s="121">
        <f>P11*(1+$G$12)</f>
        <v>5.6310432407459716</v>
      </c>
      <c r="R12" s="122">
        <v>2027</v>
      </c>
      <c r="S12" s="117"/>
      <c r="T12" s="121">
        <v>12</v>
      </c>
      <c r="U12" s="134"/>
      <c r="V12" s="135">
        <f>V11</f>
        <v>3.95</v>
      </c>
      <c r="W12" s="354"/>
      <c r="X12" s="353">
        <f>X11*(1+G12)</f>
        <v>4.1798385199475945</v>
      </c>
      <c r="AD12" s="122"/>
      <c r="AE12" s="121">
        <f>AE11*(1+$G$12)</f>
        <v>751.34205526524795</v>
      </c>
      <c r="AI12" s="118">
        <v>0.65</v>
      </c>
      <c r="AJ12" s="144">
        <f>AH11*AI12</f>
        <v>4.0430000000000001</v>
      </c>
    </row>
    <row r="13" spans="1:36">
      <c r="A13" s="228">
        <v>2028</v>
      </c>
      <c r="B13" s="113"/>
      <c r="C13" s="114"/>
      <c r="D13" s="48">
        <f>+D12</f>
        <v>1274.6280030995495</v>
      </c>
      <c r="E13" s="49">
        <f>+E12+E12*G13</f>
        <v>1399.7933329932332</v>
      </c>
      <c r="F13" s="41">
        <f t="shared" ref="F13" si="2">+D13-E13</f>
        <v>-125.16532989368375</v>
      </c>
      <c r="G13" s="50">
        <v>0.03</v>
      </c>
      <c r="H13" s="44" t="s">
        <v>126</v>
      </c>
      <c r="J13" s="122">
        <v>2028</v>
      </c>
      <c r="K13" s="117"/>
      <c r="L13" s="121"/>
      <c r="M13" s="122"/>
      <c r="N13" s="121">
        <v>4.41</v>
      </c>
      <c r="O13" s="122"/>
      <c r="P13" s="121"/>
      <c r="R13" s="122">
        <v>2028</v>
      </c>
      <c r="S13" s="117"/>
      <c r="T13" s="121">
        <v>2</v>
      </c>
      <c r="U13" s="134"/>
      <c r="V13" s="135">
        <f>V12</f>
        <v>3.95</v>
      </c>
      <c r="W13" s="354"/>
      <c r="X13" s="353">
        <f>X12*(1+G13)</f>
        <v>4.3052336755460221</v>
      </c>
      <c r="AD13" s="122"/>
      <c r="AE13" s="121"/>
      <c r="AI13" s="118"/>
      <c r="AJ13" s="144"/>
    </row>
    <row r="14" spans="1:36" ht="18.5">
      <c r="A14" s="53" t="s">
        <v>127</v>
      </c>
      <c r="B14" s="54"/>
      <c r="C14" s="55"/>
      <c r="D14" s="56">
        <f>SUM(D7:D13)</f>
        <v>8922.3960216968462</v>
      </c>
      <c r="E14" s="57">
        <f>SUM(E7:E13)</f>
        <v>8922.3960216968462</v>
      </c>
      <c r="F14" s="58">
        <f t="shared" si="0"/>
        <v>0</v>
      </c>
      <c r="G14" s="59"/>
      <c r="H14" s="44"/>
      <c r="J14" s="123" t="s">
        <v>228</v>
      </c>
      <c r="K14" s="125"/>
      <c r="L14" s="124"/>
      <c r="M14" s="123">
        <f>(M9*10/12+M10+M11*2/12+N11*10/12+N12+N13*2/12)/4</f>
        <v>4.41</v>
      </c>
      <c r="N14" s="124"/>
      <c r="O14" s="123">
        <f>AVERAGE(O7:O10,P11:P12)</f>
        <v>5.1070384084022704</v>
      </c>
      <c r="P14" s="124"/>
      <c r="R14" s="123" t="s">
        <v>228</v>
      </c>
      <c r="S14" s="125"/>
      <c r="T14" s="124"/>
      <c r="U14" s="123">
        <f>(U9*10/12+U10+U11*2/12+V11*10/12+V12+V13*2/12)/4</f>
        <v>3.9499999999999997</v>
      </c>
      <c r="V14" s="136"/>
      <c r="W14" s="355">
        <f>(W9*10/12+W10+W11*2/12+X11*10/12+X12+X13*2/12)/4</f>
        <v>3.9999800655155227</v>
      </c>
      <c r="X14" s="131"/>
      <c r="AD14" s="123">
        <f>AVERAGE(AD7:AD10,AE11:AE12)</f>
        <v>681.42483906395989</v>
      </c>
      <c r="AE14" s="124"/>
      <c r="AH14" s="33">
        <v>6.23</v>
      </c>
      <c r="AI14" s="118">
        <v>0.35</v>
      </c>
      <c r="AJ14" s="144">
        <f>AH14*AI14</f>
        <v>2.1804999999999999</v>
      </c>
    </row>
    <row r="15" spans="1:36">
      <c r="A15" s="45"/>
      <c r="B15" s="46"/>
      <c r="C15" s="52"/>
      <c r="D15" s="52"/>
      <c r="E15" s="52"/>
      <c r="F15" s="60"/>
      <c r="G15" s="61"/>
      <c r="H15" s="44"/>
      <c r="AI15" s="118">
        <v>0.65</v>
      </c>
      <c r="AJ15" s="144">
        <f>AH14*AI15</f>
        <v>4.0495000000000001</v>
      </c>
    </row>
    <row r="16" spans="1:36">
      <c r="AH16" s="33">
        <v>6.24</v>
      </c>
      <c r="AI16" s="118">
        <v>0.35</v>
      </c>
      <c r="AJ16" s="144">
        <f>AH16*AI16</f>
        <v>2.1839999999999997</v>
      </c>
    </row>
    <row r="17" spans="25:36">
      <c r="AI17" s="118">
        <v>0.65</v>
      </c>
      <c r="AJ17" s="144">
        <f>AH16*AI17</f>
        <v>4.056</v>
      </c>
    </row>
    <row r="18" spans="25:36">
      <c r="AH18" s="33">
        <v>6.25</v>
      </c>
      <c r="AI18" s="118">
        <v>0.35</v>
      </c>
      <c r="AJ18" s="144">
        <f>AH18*AI18</f>
        <v>2.1875</v>
      </c>
    </row>
    <row r="19" spans="25:36">
      <c r="AI19" s="118">
        <v>0.65</v>
      </c>
      <c r="AJ19" s="144">
        <f>AH18*AI19</f>
        <v>4.0625</v>
      </c>
    </row>
    <row r="20" spans="25:36">
      <c r="AH20" s="33">
        <v>6.26</v>
      </c>
      <c r="AI20" s="118">
        <v>0.35</v>
      </c>
      <c r="AJ20" s="144">
        <f>AH20*AI20</f>
        <v>2.1909999999999998</v>
      </c>
    </row>
    <row r="21" spans="25:36">
      <c r="AI21" s="118">
        <v>0.65</v>
      </c>
      <c r="AJ21" s="144">
        <f>AH20*AI21</f>
        <v>4.069</v>
      </c>
    </row>
    <row r="22" spans="25:36">
      <c r="AH22" s="33">
        <v>6.27</v>
      </c>
      <c r="AI22" s="118">
        <v>0.35</v>
      </c>
      <c r="AJ22" s="144">
        <f>AH22*AI22</f>
        <v>2.1944999999999997</v>
      </c>
    </row>
    <row r="23" spans="25:36">
      <c r="AI23" s="118">
        <v>0.65</v>
      </c>
      <c r="AJ23" s="144">
        <f>AH22*AI23</f>
        <v>4.0754999999999999</v>
      </c>
    </row>
    <row r="24" spans="25:36">
      <c r="AH24" s="33">
        <v>6.28</v>
      </c>
      <c r="AI24" s="118">
        <v>0.35</v>
      </c>
      <c r="AJ24" s="144">
        <f>AH24*AI24</f>
        <v>2.198</v>
      </c>
    </row>
    <row r="25" spans="25:36">
      <c r="AI25" s="118">
        <v>0.65</v>
      </c>
      <c r="AJ25" s="144">
        <f>AH24*AI25</f>
        <v>4.0820000000000007</v>
      </c>
    </row>
    <row r="26" spans="25:36">
      <c r="AH26" s="33">
        <v>6.29</v>
      </c>
      <c r="AI26" s="118">
        <v>0.35</v>
      </c>
      <c r="AJ26" s="144">
        <f>AH26*AI26</f>
        <v>2.2014999999999998</v>
      </c>
    </row>
    <row r="27" spans="25:36">
      <c r="AI27" s="118">
        <v>0.65</v>
      </c>
      <c r="AJ27" s="144">
        <f>AH26*AI27</f>
        <v>4.0884999999999998</v>
      </c>
    </row>
    <row r="28" spans="25:36">
      <c r="AH28" s="33">
        <v>6.3</v>
      </c>
      <c r="AI28" s="118">
        <v>0.35</v>
      </c>
      <c r="AJ28" s="144">
        <f>AH28*AI28</f>
        <v>2.2049999999999996</v>
      </c>
    </row>
    <row r="29" spans="25:36">
      <c r="AI29" s="118">
        <v>0.65</v>
      </c>
      <c r="AJ29" s="144">
        <f>AH28*AI29</f>
        <v>4.0949999999999998</v>
      </c>
    </row>
    <row r="30" spans="25:36">
      <c r="AH30" s="33">
        <v>6.31</v>
      </c>
      <c r="AI30" s="118">
        <v>0.35</v>
      </c>
      <c r="AJ30" s="144">
        <f>AH30*AI30</f>
        <v>2.2084999999999999</v>
      </c>
    </row>
    <row r="31" spans="25:36">
      <c r="Z31" s="13">
        <v>6.0470000000000003E-2</v>
      </c>
      <c r="AA31" s="13">
        <v>0.1</v>
      </c>
      <c r="AB31" s="13">
        <v>0.125</v>
      </c>
      <c r="AC31" s="13">
        <v>0.15</v>
      </c>
      <c r="AD31" s="13">
        <v>0.17499999999999999</v>
      </c>
      <c r="AE31" s="13">
        <v>0.2</v>
      </c>
      <c r="AF31" s="13">
        <v>0.22500000000000001</v>
      </c>
      <c r="AI31" s="118">
        <v>0.65</v>
      </c>
      <c r="AJ31" s="144">
        <f>AH30*AI31</f>
        <v>4.1014999999999997</v>
      </c>
    </row>
    <row r="32" spans="25:36">
      <c r="Y32">
        <v>3.36</v>
      </c>
      <c r="Z32">
        <f>Y32*Z31</f>
        <v>0.2031792</v>
      </c>
      <c r="AA32">
        <f>Y32*AA31</f>
        <v>0.33600000000000002</v>
      </c>
      <c r="AB32">
        <f>Y32*AB31</f>
        <v>0.42</v>
      </c>
      <c r="AC32">
        <f>Y32*AC31</f>
        <v>0.504</v>
      </c>
      <c r="AD32">
        <f>Y32*AD31</f>
        <v>0.58799999999999997</v>
      </c>
      <c r="AE32">
        <f>Y32*AE31</f>
        <v>0.67200000000000004</v>
      </c>
      <c r="AF32">
        <f>Y32*AF31</f>
        <v>0.75600000000000001</v>
      </c>
      <c r="AH32" s="33">
        <v>6.32</v>
      </c>
      <c r="AI32" s="118">
        <v>0.35</v>
      </c>
      <c r="AJ32" s="144">
        <f>AH32*AI32</f>
        <v>2.2119999999999997</v>
      </c>
    </row>
    <row r="33" spans="26:36">
      <c r="Z33" s="144">
        <f t="shared" ref="Z33:AF33" si="3">$Y$32+Z32</f>
        <v>3.5631792</v>
      </c>
      <c r="AA33">
        <f t="shared" si="3"/>
        <v>3.6959999999999997</v>
      </c>
      <c r="AB33">
        <f t="shared" si="3"/>
        <v>3.78</v>
      </c>
      <c r="AC33">
        <f t="shared" si="3"/>
        <v>3.8639999999999999</v>
      </c>
      <c r="AD33">
        <f t="shared" si="3"/>
        <v>3.948</v>
      </c>
      <c r="AE33">
        <f t="shared" si="3"/>
        <v>4.032</v>
      </c>
      <c r="AF33">
        <f t="shared" si="3"/>
        <v>4.1159999999999997</v>
      </c>
      <c r="AI33" s="118">
        <v>0.65</v>
      </c>
      <c r="AJ33" s="144">
        <f>AH32*AI33</f>
        <v>4.1080000000000005</v>
      </c>
    </row>
    <row r="34" spans="26:36">
      <c r="AH34" s="33">
        <v>6.33</v>
      </c>
      <c r="AI34" s="118">
        <v>0.35</v>
      </c>
      <c r="AJ34" s="144">
        <f>AH34*AI34</f>
        <v>2.2155</v>
      </c>
    </row>
    <row r="35" spans="26:36">
      <c r="AI35" s="118">
        <v>0.65</v>
      </c>
      <c r="AJ35" s="144">
        <f>AH34*AI35</f>
        <v>4.1145000000000005</v>
      </c>
    </row>
    <row r="36" spans="26:36">
      <c r="AH36" s="33">
        <v>6.34</v>
      </c>
      <c r="AI36" s="118">
        <v>0.35</v>
      </c>
      <c r="AJ36" s="144">
        <f>AH36*AI36</f>
        <v>2.2189999999999999</v>
      </c>
    </row>
    <row r="37" spans="26:36">
      <c r="AI37" s="118">
        <v>0.65</v>
      </c>
      <c r="AJ37" s="144">
        <f>AH36*AI37</f>
        <v>4.1210000000000004</v>
      </c>
    </row>
    <row r="38" spans="26:36">
      <c r="AH38" s="33">
        <v>6.35</v>
      </c>
      <c r="AI38" s="118">
        <v>0.35</v>
      </c>
      <c r="AJ38" s="144">
        <f>AH38*AI38</f>
        <v>2.2224999999999997</v>
      </c>
    </row>
    <row r="39" spans="26:36">
      <c r="AI39" s="118">
        <v>0.65</v>
      </c>
      <c r="AJ39" s="144">
        <f>AH38*AI39</f>
        <v>4.1274999999999995</v>
      </c>
    </row>
    <row r="40" spans="26:36">
      <c r="AH40" s="33">
        <v>6.36</v>
      </c>
      <c r="AI40" s="118">
        <v>0.35</v>
      </c>
      <c r="AJ40" s="144">
        <f>AH40*AI40</f>
        <v>2.226</v>
      </c>
    </row>
    <row r="41" spans="26:36">
      <c r="AI41" s="118">
        <v>0.65</v>
      </c>
      <c r="AJ41" s="144">
        <f>AH40*AI41</f>
        <v>4.1340000000000003</v>
      </c>
    </row>
    <row r="42" spans="26:36">
      <c r="AH42" s="33">
        <v>6.37</v>
      </c>
      <c r="AI42" s="118">
        <v>0.35</v>
      </c>
      <c r="AJ42" s="144">
        <f>AH42*AI42</f>
        <v>2.2294999999999998</v>
      </c>
    </row>
    <row r="43" spans="26:36">
      <c r="AI43" s="118">
        <v>0.65</v>
      </c>
      <c r="AJ43" s="144">
        <f>AH42*AI43</f>
        <v>4.1405000000000003</v>
      </c>
    </row>
    <row r="44" spans="26:36">
      <c r="AH44" s="33">
        <v>6.38</v>
      </c>
      <c r="AI44" s="118">
        <v>0.35</v>
      </c>
      <c r="AJ44" s="144">
        <f>AH44*AI44</f>
        <v>2.2329999999999997</v>
      </c>
    </row>
    <row r="45" spans="26:36">
      <c r="AI45" s="118">
        <v>0.65</v>
      </c>
      <c r="AJ45" s="144">
        <f>AH44*AI45</f>
        <v>4.1470000000000002</v>
      </c>
    </row>
    <row r="46" spans="26:36">
      <c r="AH46" s="33">
        <v>6.39</v>
      </c>
      <c r="AI46" s="118">
        <v>0.35</v>
      </c>
      <c r="AJ46" s="144">
        <f>AH46*AI46</f>
        <v>2.2364999999999999</v>
      </c>
    </row>
    <row r="47" spans="26:36">
      <c r="AI47" s="118">
        <v>0.65</v>
      </c>
      <c r="AJ47" s="144">
        <f>AH46*AI47</f>
        <v>4.1535000000000002</v>
      </c>
    </row>
    <row r="48" spans="26:36">
      <c r="AH48" s="33">
        <v>6.4</v>
      </c>
      <c r="AI48" s="118">
        <v>0.35</v>
      </c>
      <c r="AJ48" s="144">
        <f>AH48*AI48</f>
        <v>2.2399999999999998</v>
      </c>
    </row>
    <row r="49" spans="35:36">
      <c r="AI49" s="118">
        <v>0.65</v>
      </c>
      <c r="AJ49" s="144">
        <f>AH48*AI49</f>
        <v>4.16</v>
      </c>
    </row>
  </sheetData>
  <mergeCells count="3">
    <mergeCell ref="J5:P5"/>
    <mergeCell ref="R5:X5"/>
    <mergeCell ref="AD4:AJ4"/>
  </mergeCells>
  <pageMargins left="0.7" right="0.7" top="0.75" bottom="0.75" header="0.3" footer="0.3"/>
  <pageSetup paperSize="9" scale="38" orientation="landscape" r:id="rId1"/>
  <customProperties>
    <customPr name="EpmWorksheetKeyString_GUID" r:id="rId2"/>
  </customProperties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4:U70"/>
  <sheetViews>
    <sheetView topLeftCell="A16" workbookViewId="0">
      <selection activeCell="I29" sqref="I29"/>
    </sheetView>
  </sheetViews>
  <sheetFormatPr defaultRowHeight="14.5"/>
  <cols>
    <col min="1" max="1" width="7.54296875" bestFit="1" customWidth="1"/>
    <col min="2" max="2" width="17.26953125" bestFit="1" customWidth="1"/>
    <col min="3" max="4" width="12" bestFit="1" customWidth="1"/>
    <col min="5" max="5" width="11" bestFit="1" customWidth="1"/>
    <col min="6" max="12" width="12" bestFit="1" customWidth="1"/>
    <col min="13" max="14" width="12" customWidth="1"/>
    <col min="15" max="15" width="9.81640625" bestFit="1" customWidth="1"/>
    <col min="16" max="17" width="9.81640625" customWidth="1"/>
    <col min="22" max="22" width="5" bestFit="1" customWidth="1"/>
    <col min="23" max="23" width="15.7265625" bestFit="1" customWidth="1"/>
    <col min="24" max="24" width="14.7265625" bestFit="1" customWidth="1"/>
    <col min="26" max="27" width="15.7265625" bestFit="1" customWidth="1"/>
  </cols>
  <sheetData>
    <row r="4" spans="1:17">
      <c r="B4" s="529" t="s">
        <v>135</v>
      </c>
      <c r="C4" s="529"/>
      <c r="D4" s="529"/>
      <c r="E4" s="529"/>
      <c r="F4" s="529"/>
      <c r="G4" s="529"/>
      <c r="H4" s="520" t="s">
        <v>166</v>
      </c>
      <c r="I4" s="521"/>
      <c r="J4" s="521"/>
      <c r="K4" s="521"/>
      <c r="L4" s="521"/>
      <c r="M4" s="522"/>
      <c r="N4" s="218"/>
    </row>
    <row r="7" spans="1:17">
      <c r="E7" s="63">
        <f>(E9-$D$9)/$D$9</f>
        <v>-1.8655000000000001E-2</v>
      </c>
      <c r="F7" s="63">
        <f t="shared" ref="F7:L7" si="0">(F9-$D$9)/$D$9</f>
        <v>0.54867333333333335</v>
      </c>
      <c r="G7" s="63">
        <f t="shared" si="0"/>
        <v>0.47484833333333332</v>
      </c>
      <c r="H7" s="76">
        <f>(H9-$D$9)/$D$9</f>
        <v>0.36</v>
      </c>
      <c r="I7" s="76">
        <f t="shared" si="0"/>
        <v>0.29166666666666669</v>
      </c>
      <c r="J7" s="76">
        <f t="shared" si="0"/>
        <v>0.25</v>
      </c>
      <c r="K7" s="76">
        <f t="shared" si="0"/>
        <v>0.20833333333333334</v>
      </c>
      <c r="L7" s="76">
        <f t="shared" si="0"/>
        <v>0.16666666666666666</v>
      </c>
      <c r="M7" s="76">
        <f>(M9-$D$9)/$D$9</f>
        <v>0.16666666666666666</v>
      </c>
      <c r="N7" s="76"/>
    </row>
    <row r="8" spans="1:17">
      <c r="C8" s="72">
        <v>2017</v>
      </c>
      <c r="D8" s="73">
        <v>2018</v>
      </c>
      <c r="E8" s="73">
        <v>2019</v>
      </c>
      <c r="F8" s="73">
        <v>2020</v>
      </c>
      <c r="G8" s="73">
        <v>2021</v>
      </c>
      <c r="H8" s="77">
        <v>2022</v>
      </c>
      <c r="I8" s="77">
        <v>2023</v>
      </c>
      <c r="J8" s="77">
        <v>2024</v>
      </c>
      <c r="K8" s="77">
        <v>2025</v>
      </c>
      <c r="L8" s="77">
        <v>2026</v>
      </c>
      <c r="M8" s="77">
        <v>2027</v>
      </c>
      <c r="N8" s="219"/>
    </row>
    <row r="9" spans="1:17">
      <c r="A9" s="71">
        <f>AVERAGE(C9:G9)</f>
        <v>710584</v>
      </c>
      <c r="B9" t="s">
        <v>136</v>
      </c>
      <c r="C9" s="62">
        <v>550000</v>
      </c>
      <c r="D9" s="71">
        <v>600000</v>
      </c>
      <c r="E9" s="217">
        <v>588807</v>
      </c>
      <c r="F9" s="217">
        <v>929204</v>
      </c>
      <c r="G9" s="217">
        <v>884909</v>
      </c>
      <c r="H9" s="78">
        <v>816000</v>
      </c>
      <c r="I9" s="78">
        <v>775000</v>
      </c>
      <c r="J9" s="78">
        <v>750000</v>
      </c>
      <c r="K9" s="78">
        <v>725000</v>
      </c>
      <c r="L9" s="78">
        <v>700000</v>
      </c>
      <c r="M9" s="78">
        <v>700000</v>
      </c>
      <c r="N9" s="78"/>
      <c r="O9" s="71">
        <f>AVERAGE(H9:M9)</f>
        <v>744333.33333333337</v>
      </c>
      <c r="P9" s="71"/>
      <c r="Q9" s="71"/>
    </row>
    <row r="10" spans="1:17">
      <c r="B10" t="s">
        <v>137</v>
      </c>
      <c r="C10" s="62">
        <v>1750</v>
      </c>
      <c r="D10" s="71">
        <v>1800</v>
      </c>
      <c r="E10" s="217">
        <v>1761</v>
      </c>
      <c r="F10" s="217">
        <v>3856</v>
      </c>
      <c r="G10" s="217">
        <v>3104</v>
      </c>
      <c r="H10" s="89">
        <f>H19*H23</f>
        <v>1891.3389621000001</v>
      </c>
      <c r="I10" s="89">
        <f t="shared" ref="I10:L10" si="1">I19*I23</f>
        <v>1900.733457</v>
      </c>
      <c r="J10" s="89">
        <f t="shared" si="1"/>
        <v>1910.0666256000002</v>
      </c>
      <c r="K10" s="89">
        <f t="shared" si="1"/>
        <v>1919.0931627000004</v>
      </c>
      <c r="L10" s="89">
        <f t="shared" si="1"/>
        <v>1927.5700773000003</v>
      </c>
      <c r="M10" s="89">
        <f>M19*M23</f>
        <v>1935.2381790000002</v>
      </c>
      <c r="N10" s="89"/>
      <c r="O10" s="71">
        <f>AVERAGE(H10:M10)</f>
        <v>1914.0067439500001</v>
      </c>
      <c r="P10" s="71"/>
      <c r="Q10" s="71"/>
    </row>
    <row r="11" spans="1:17">
      <c r="A11" s="33">
        <f>AVERAGE(C11:G11)</f>
        <v>301.60826118484312</v>
      </c>
      <c r="C11">
        <f>C9/C10</f>
        <v>314.28571428571428</v>
      </c>
      <c r="D11">
        <f>D9/D10</f>
        <v>333.33333333333331</v>
      </c>
      <c r="E11">
        <f t="shared" ref="E11:H11" si="2">E9/E10</f>
        <v>334.35945485519591</v>
      </c>
      <c r="F11">
        <f t="shared" si="2"/>
        <v>240.97614107883817</v>
      </c>
      <c r="G11">
        <f>G9/G10</f>
        <v>285.08666237113403</v>
      </c>
      <c r="H11" s="79">
        <f t="shared" si="2"/>
        <v>431.44037972652728</v>
      </c>
      <c r="I11" s="79">
        <f t="shared" ref="I11" si="3">I9/I10</f>
        <v>407.73733799751807</v>
      </c>
      <c r="J11" s="79">
        <f t="shared" ref="J11" si="4">J9/J10</f>
        <v>392.65646022394952</v>
      </c>
      <c r="K11" s="79">
        <f t="shared" ref="K11:L11" si="5">K9/K10</f>
        <v>377.78259757852862</v>
      </c>
      <c r="L11" s="79">
        <f t="shared" si="5"/>
        <v>363.1515181956492</v>
      </c>
      <c r="M11" s="79">
        <f t="shared" ref="M11" si="6">M9/M10</f>
        <v>361.71258276937908</v>
      </c>
      <c r="N11" s="79"/>
      <c r="O11" s="71">
        <f>AVERAGE(H11:M11)</f>
        <v>389.08014608192531</v>
      </c>
      <c r="P11" s="71"/>
      <c r="Q11" s="71"/>
    </row>
    <row r="13" spans="1:17">
      <c r="B13" t="s">
        <v>160</v>
      </c>
      <c r="C13" s="71">
        <v>1620809</v>
      </c>
      <c r="D13" s="71">
        <v>1620343</v>
      </c>
      <c r="E13" s="71">
        <v>1636762</v>
      </c>
      <c r="F13" s="71">
        <v>1664182</v>
      </c>
      <c r="G13" s="71">
        <v>1636732</v>
      </c>
      <c r="H13" s="84">
        <v>1634551</v>
      </c>
      <c r="I13" s="84">
        <v>1642670</v>
      </c>
      <c r="J13" s="84">
        <v>1650736</v>
      </c>
      <c r="K13" s="84">
        <v>1658537</v>
      </c>
      <c r="L13" s="84">
        <v>1665863</v>
      </c>
      <c r="M13" s="84">
        <v>1672490</v>
      </c>
      <c r="N13" s="84"/>
    </row>
    <row r="14" spans="1:17">
      <c r="B14" s="70" t="s">
        <v>161</v>
      </c>
      <c r="C14" s="71">
        <v>348747</v>
      </c>
      <c r="D14" s="71">
        <v>348990</v>
      </c>
      <c r="E14" s="71">
        <v>350065</v>
      </c>
      <c r="F14" s="71">
        <v>351986</v>
      </c>
      <c r="G14" s="71">
        <v>348738</v>
      </c>
      <c r="H14" s="84">
        <v>345641</v>
      </c>
      <c r="I14" s="84">
        <v>348321</v>
      </c>
      <c r="J14" s="84">
        <v>351514</v>
      </c>
      <c r="K14" s="84">
        <v>354718</v>
      </c>
      <c r="L14" s="84">
        <v>358023</v>
      </c>
      <c r="M14" s="84">
        <v>361326</v>
      </c>
      <c r="N14" s="84"/>
    </row>
    <row r="15" spans="1:17">
      <c r="B15" t="s">
        <v>162</v>
      </c>
      <c r="C15" s="63">
        <f>C14/C13</f>
        <v>0.21516847450871757</v>
      </c>
      <c r="D15" s="63">
        <f>D14/D13</f>
        <v>0.21538032379564079</v>
      </c>
      <c r="E15" s="63">
        <f>E14/E13</f>
        <v>0.21387654405466403</v>
      </c>
      <c r="F15" s="63">
        <f t="shared" ref="F15:G15" si="7">F14/F13</f>
        <v>0.21150691450814874</v>
      </c>
      <c r="G15" s="63">
        <f t="shared" si="7"/>
        <v>0.21306970230923572</v>
      </c>
      <c r="H15" s="76">
        <f t="shared" ref="H15:M15" si="8">H14/H13</f>
        <v>0.21145929371429831</v>
      </c>
      <c r="I15" s="76">
        <f t="shared" si="8"/>
        <v>0.21204563302428364</v>
      </c>
      <c r="J15" s="76">
        <f t="shared" si="8"/>
        <v>0.21294380203739424</v>
      </c>
      <c r="K15" s="76">
        <f t="shared" si="8"/>
        <v>0.21387403476678543</v>
      </c>
      <c r="L15" s="76">
        <f t="shared" si="8"/>
        <v>0.21491743318628242</v>
      </c>
      <c r="M15" s="76">
        <f t="shared" si="8"/>
        <v>0.21604075360689751</v>
      </c>
      <c r="N15" s="76"/>
    </row>
    <row r="17" spans="1:18">
      <c r="A17" s="13">
        <f>AVERAGE(C17:G17)</f>
        <v>7.0123690809756108E-3</v>
      </c>
      <c r="B17" t="s">
        <v>163</v>
      </c>
      <c r="C17" s="63">
        <f>C10/C14</f>
        <v>5.0179643122378118E-3</v>
      </c>
      <c r="D17" s="63">
        <f t="shared" ref="D17:L17" si="9">D10/D14</f>
        <v>5.1577409094816472E-3</v>
      </c>
      <c r="E17" s="63">
        <f t="shared" si="9"/>
        <v>5.0304943367660291E-3</v>
      </c>
      <c r="F17" s="63">
        <f t="shared" si="9"/>
        <v>1.095498116402357E-2</v>
      </c>
      <c r="G17" s="63">
        <f t="shared" si="9"/>
        <v>8.900664682368999E-3</v>
      </c>
      <c r="H17" s="76">
        <f t="shared" si="9"/>
        <v>5.4719751479135872E-3</v>
      </c>
      <c r="I17" s="76">
        <f t="shared" si="9"/>
        <v>5.4568442815678643E-3</v>
      </c>
      <c r="J17" s="76">
        <f t="shared" si="9"/>
        <v>5.4338280284711282E-3</v>
      </c>
      <c r="K17" s="76">
        <f t="shared" si="9"/>
        <v>5.4101939081185628E-3</v>
      </c>
      <c r="L17" s="76">
        <f t="shared" si="9"/>
        <v>5.3839280641187863E-3</v>
      </c>
      <c r="M17" s="76">
        <f t="shared" ref="M17" si="10">M10/M14</f>
        <v>5.3559339184005581E-3</v>
      </c>
      <c r="N17" s="76"/>
    </row>
    <row r="19" spans="1:18">
      <c r="B19" s="70" t="s">
        <v>164</v>
      </c>
      <c r="C19" s="71">
        <v>89565</v>
      </c>
      <c r="D19" s="71">
        <v>90052</v>
      </c>
      <c r="E19" s="71">
        <v>90192</v>
      </c>
      <c r="F19" s="71">
        <v>90436</v>
      </c>
      <c r="G19" s="71">
        <v>90727</v>
      </c>
      <c r="H19" s="89">
        <f>H13*H21</f>
        <v>90063.7601</v>
      </c>
      <c r="I19" s="89">
        <f t="shared" ref="I19:L19" si="11">I13*I21</f>
        <v>90511.116999999998</v>
      </c>
      <c r="J19" s="89">
        <f t="shared" si="11"/>
        <v>90955.553599999999</v>
      </c>
      <c r="K19" s="89">
        <f t="shared" si="11"/>
        <v>91385.38870000001</v>
      </c>
      <c r="L19" s="89">
        <f t="shared" si="11"/>
        <v>91789.051300000006</v>
      </c>
      <c r="M19" s="89">
        <f t="shared" ref="M19" si="12">M13*M21</f>
        <v>92154.199000000008</v>
      </c>
      <c r="N19" s="89"/>
    </row>
    <row r="21" spans="1:18">
      <c r="A21" s="18">
        <f>AVERAGE(C21:G21)</f>
        <v>5.5142732155569849E-2</v>
      </c>
      <c r="B21" t="s">
        <v>165</v>
      </c>
      <c r="C21" s="63">
        <f>C19/C13</f>
        <v>5.5259441427089807E-2</v>
      </c>
      <c r="D21" s="63">
        <f t="shared" ref="D21:F21" si="13">D19/D13</f>
        <v>5.5575887327559657E-2</v>
      </c>
      <c r="E21" s="63">
        <f t="shared" si="13"/>
        <v>5.5103918590485364E-2</v>
      </c>
      <c r="F21" s="63">
        <f t="shared" si="13"/>
        <v>5.4342613968904843E-2</v>
      </c>
      <c r="G21" s="63">
        <f>G19/G13</f>
        <v>5.5431799463809592E-2</v>
      </c>
      <c r="H21" s="88">
        <v>5.5100000000000003E-2</v>
      </c>
      <c r="I21" s="88">
        <v>5.5100000000000003E-2</v>
      </c>
      <c r="J21" s="88">
        <v>5.5100000000000003E-2</v>
      </c>
      <c r="K21" s="88">
        <v>5.5100000000000003E-2</v>
      </c>
      <c r="L21" s="88">
        <v>5.5100000000000003E-2</v>
      </c>
      <c r="M21" s="88">
        <v>5.5100000000000003E-2</v>
      </c>
      <c r="N21" s="88"/>
      <c r="O21" s="99">
        <f>AVERAGE(H21:M21)</f>
        <v>5.5100000000000003E-2</v>
      </c>
      <c r="P21" s="99"/>
      <c r="Q21" s="99"/>
    </row>
    <row r="23" spans="1:18">
      <c r="A23" s="18">
        <f>AVERAGE(C23:G23)</f>
        <v>2.7180552411575402E-2</v>
      </c>
      <c r="B23" t="s">
        <v>168</v>
      </c>
      <c r="C23" s="63">
        <f>C10/C19</f>
        <v>1.9538882375928098E-2</v>
      </c>
      <c r="D23" s="63">
        <f>D10/D19</f>
        <v>1.9988451117132322E-2</v>
      </c>
      <c r="E23" s="63">
        <f>E10/E19</f>
        <v>1.9525013304949441E-2</v>
      </c>
      <c r="F23" s="63">
        <f>F10/F19</f>
        <v>4.2637887566898139E-2</v>
      </c>
      <c r="G23" s="63">
        <f>G10/G19</f>
        <v>3.4212527692969015E-2</v>
      </c>
      <c r="H23" s="88">
        <v>2.1000000000000001E-2</v>
      </c>
      <c r="I23" s="88">
        <v>2.1000000000000001E-2</v>
      </c>
      <c r="J23" s="88">
        <v>2.1000000000000001E-2</v>
      </c>
      <c r="K23" s="88">
        <v>2.1000000000000001E-2</v>
      </c>
      <c r="L23" s="88">
        <v>2.1000000000000001E-2</v>
      </c>
      <c r="M23" s="88">
        <v>2.1000000000000001E-2</v>
      </c>
      <c r="N23" s="88"/>
      <c r="O23" s="99">
        <f>AVERAGE(H23:M23)</f>
        <v>2.1000000000000001E-2</v>
      </c>
      <c r="P23" s="99"/>
      <c r="Q23" s="99"/>
    </row>
    <row r="26" spans="1:18"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</row>
    <row r="27" spans="1:18">
      <c r="B27" s="529" t="s">
        <v>135</v>
      </c>
      <c r="C27" s="529"/>
      <c r="D27" s="529"/>
      <c r="E27" s="529"/>
      <c r="F27" s="529"/>
      <c r="G27" s="529"/>
      <c r="H27" s="523" t="s">
        <v>263</v>
      </c>
      <c r="I27" s="524"/>
      <c r="J27" s="524"/>
      <c r="K27" s="524"/>
      <c r="L27" s="524"/>
      <c r="M27" s="525"/>
      <c r="N27" s="220"/>
      <c r="O27" t="s">
        <v>228</v>
      </c>
      <c r="P27" t="s">
        <v>219</v>
      </c>
      <c r="Q27" t="s">
        <v>220</v>
      </c>
      <c r="R27" s="139"/>
    </row>
    <row r="28" spans="1:18">
      <c r="I28" s="137">
        <f>I32/H32</f>
        <v>0.73313498714191094</v>
      </c>
      <c r="J28" s="137">
        <f>J32/I32</f>
        <v>1.03</v>
      </c>
      <c r="K28" s="137">
        <f>K32/J32</f>
        <v>1.03</v>
      </c>
      <c r="L28" s="137">
        <f>L32/K32</f>
        <v>1.03</v>
      </c>
      <c r="M28" s="137">
        <f>M32/L32</f>
        <v>1.03</v>
      </c>
      <c r="N28" s="137"/>
      <c r="P28" s="137">
        <v>0.65</v>
      </c>
      <c r="Q28" s="137">
        <v>0.35</v>
      </c>
      <c r="R28" s="139"/>
    </row>
    <row r="29" spans="1:18">
      <c r="I29">
        <f>H32*I28</f>
        <v>546797</v>
      </c>
      <c r="J29">
        <f>I32*J28</f>
        <v>563200.91</v>
      </c>
      <c r="K29">
        <f t="shared" ref="K29:M29" si="14">J32*K28</f>
        <v>580096.93729999999</v>
      </c>
      <c r="L29">
        <f t="shared" si="14"/>
        <v>597499.84541900002</v>
      </c>
      <c r="M29">
        <f t="shared" si="14"/>
        <v>615424.84078157006</v>
      </c>
      <c r="R29" s="139"/>
    </row>
    <row r="30" spans="1:18">
      <c r="E30" s="63">
        <f>(E32-$D$9)/$D$9</f>
        <v>-1.8655000000000001E-2</v>
      </c>
      <c r="F30" s="63">
        <f>(F32-$D$9)/$D$9</f>
        <v>0.54867333333333335</v>
      </c>
      <c r="G30" s="63">
        <f>(G32-$D$9)/$D$9</f>
        <v>0.47484833333333332</v>
      </c>
      <c r="H30" s="63">
        <f>(H32-$D$9)/$D$9</f>
        <v>0.24305666666666667</v>
      </c>
      <c r="I30" s="63">
        <f t="shared" ref="I30:L30" si="15">(I32-$D$9)/$D$9</f>
        <v>-8.8671666666666663E-2</v>
      </c>
      <c r="J30" s="74">
        <f t="shared" si="15"/>
        <v>-6.1331816666666615E-2</v>
      </c>
      <c r="K30" s="74">
        <f t="shared" si="15"/>
        <v>-3.3171771166666683E-2</v>
      </c>
      <c r="L30" s="74">
        <f t="shared" si="15"/>
        <v>-4.1669243016666342E-3</v>
      </c>
      <c r="M30" s="74">
        <f>(M32-$D$9)/$D$9</f>
        <v>2.5708067969283439E-2</v>
      </c>
      <c r="N30" s="74"/>
      <c r="R30" s="139"/>
    </row>
    <row r="31" spans="1:18" ht="15" thickBot="1">
      <c r="C31" s="72">
        <v>2017</v>
      </c>
      <c r="D31" s="73">
        <v>2018</v>
      </c>
      <c r="E31" s="73">
        <v>2019</v>
      </c>
      <c r="F31" s="73">
        <v>2020</v>
      </c>
      <c r="G31" s="73">
        <v>2021</v>
      </c>
      <c r="H31" s="73">
        <v>2022</v>
      </c>
      <c r="I31" s="73">
        <v>2023</v>
      </c>
      <c r="J31" s="223">
        <v>2024</v>
      </c>
      <c r="K31" s="223">
        <v>2025</v>
      </c>
      <c r="L31" s="223">
        <v>2026</v>
      </c>
      <c r="M31" s="223">
        <v>2027</v>
      </c>
      <c r="N31" s="223">
        <v>2028</v>
      </c>
      <c r="O31" s="223" t="s">
        <v>262</v>
      </c>
      <c r="P31" s="171"/>
      <c r="Q31" s="171"/>
      <c r="R31" s="139"/>
    </row>
    <row r="32" spans="1:18" ht="15" thickBot="1">
      <c r="B32" t="s">
        <v>136</v>
      </c>
      <c r="C32" s="62">
        <v>550000</v>
      </c>
      <c r="D32" s="71">
        <v>600000</v>
      </c>
      <c r="E32" s="217">
        <v>588807</v>
      </c>
      <c r="F32" s="217">
        <v>929204</v>
      </c>
      <c r="G32" s="217">
        <v>884909</v>
      </c>
      <c r="H32" s="217">
        <v>745834</v>
      </c>
      <c r="I32" s="217">
        <v>546797</v>
      </c>
      <c r="J32" s="224">
        <f t="shared" ref="J32:N33" si="16">I32*1.03</f>
        <v>563200.91</v>
      </c>
      <c r="K32" s="225">
        <f t="shared" si="16"/>
        <v>580096.93729999999</v>
      </c>
      <c r="L32" s="225">
        <f t="shared" si="16"/>
        <v>597499.84541900002</v>
      </c>
      <c r="M32" s="225">
        <f t="shared" si="16"/>
        <v>615424.84078157006</v>
      </c>
      <c r="N32" s="225">
        <f t="shared" si="16"/>
        <v>633887.58600501716</v>
      </c>
      <c r="O32" s="226">
        <f>INT(((J32*10/12)+K32+L32+M32+(N32*2/12))/4)</f>
        <v>592000</v>
      </c>
      <c r="P32" s="243">
        <f>O32*P28</f>
        <v>384800</v>
      </c>
      <c r="Q32" s="243">
        <f>O32*Q28</f>
        <v>207200</v>
      </c>
      <c r="R32" s="139"/>
    </row>
    <row r="33" spans="1:18" ht="15" thickBot="1">
      <c r="B33" t="s">
        <v>137</v>
      </c>
      <c r="C33" s="62">
        <v>1750</v>
      </c>
      <c r="D33" s="71">
        <v>1800</v>
      </c>
      <c r="E33" s="217">
        <v>1761</v>
      </c>
      <c r="F33" s="217">
        <v>3856</v>
      </c>
      <c r="G33" s="217">
        <v>3104</v>
      </c>
      <c r="H33" s="217">
        <f>H43*H47</f>
        <v>1628.8203193320001</v>
      </c>
      <c r="I33" s="217">
        <f>I43*I47</f>
        <v>1293.2009904742401</v>
      </c>
      <c r="J33" s="227">
        <f t="shared" si="16"/>
        <v>1331.9970201884673</v>
      </c>
      <c r="K33" s="227">
        <f t="shared" si="16"/>
        <v>1371.9569307941215</v>
      </c>
      <c r="L33" s="227">
        <f t="shared" si="16"/>
        <v>1413.1156387179451</v>
      </c>
      <c r="M33" s="227">
        <f t="shared" si="16"/>
        <v>1455.5091078794835</v>
      </c>
      <c r="N33" s="227">
        <f t="shared" si="16"/>
        <v>1499.1743811158681</v>
      </c>
      <c r="O33" s="115">
        <f>((J33*10/12)+K33+L33+M33+(N33*2/12))/4</f>
        <v>1400.1103977669795</v>
      </c>
      <c r="P33" s="170"/>
      <c r="Q33" s="170"/>
      <c r="R33" s="139"/>
    </row>
    <row r="34" spans="1:18" ht="15" thickBot="1">
      <c r="C34" s="62"/>
      <c r="D34" s="71"/>
      <c r="E34" s="71"/>
      <c r="F34" s="71"/>
      <c r="G34" s="71"/>
      <c r="H34" s="71">
        <f t="shared" ref="H34:N34" si="17">ROUND(H33,0)</f>
        <v>1629</v>
      </c>
      <c r="I34" s="71">
        <f t="shared" si="17"/>
        <v>1293</v>
      </c>
      <c r="J34" s="224">
        <f t="shared" si="17"/>
        <v>1332</v>
      </c>
      <c r="K34" s="225">
        <f t="shared" si="17"/>
        <v>1372</v>
      </c>
      <c r="L34" s="225">
        <f t="shared" si="17"/>
        <v>1413</v>
      </c>
      <c r="M34" s="225">
        <f t="shared" si="17"/>
        <v>1456</v>
      </c>
      <c r="N34" s="225">
        <f t="shared" si="17"/>
        <v>1499</v>
      </c>
      <c r="O34" s="244">
        <f>INT(((J34*10/12)+K34+L34+M34+(N34*2/12))/4)</f>
        <v>1400</v>
      </c>
      <c r="P34" s="82"/>
      <c r="Q34" s="82"/>
      <c r="R34" s="139"/>
    </row>
    <row r="35" spans="1:18">
      <c r="A35" s="33">
        <f>AVERAGE(C35:G35)</f>
        <v>301.60826118484312</v>
      </c>
      <c r="C35">
        <f>C32/C33</f>
        <v>314.28571428571428</v>
      </c>
      <c r="D35">
        <f>D32/D33</f>
        <v>333.33333333333331</v>
      </c>
      <c r="E35">
        <f t="shared" ref="E35:L35" si="18">E32/E33</f>
        <v>334.35945485519591</v>
      </c>
      <c r="F35">
        <f t="shared" si="18"/>
        <v>240.97614107883817</v>
      </c>
      <c r="G35">
        <f t="shared" si="18"/>
        <v>285.08666237113403</v>
      </c>
      <c r="H35">
        <f t="shared" si="18"/>
        <v>457.89826609350996</v>
      </c>
      <c r="I35">
        <f t="shared" si="18"/>
        <v>422.82445190478836</v>
      </c>
      <c r="J35" s="75">
        <f t="shared" si="18"/>
        <v>422.82445190478836</v>
      </c>
      <c r="K35" s="75">
        <f t="shared" si="18"/>
        <v>422.8244519047883</v>
      </c>
      <c r="L35" s="75">
        <f t="shared" si="18"/>
        <v>422.8244519047883</v>
      </c>
      <c r="M35" s="75">
        <f t="shared" ref="M35:N35" si="19">M32/M33</f>
        <v>422.82445190478836</v>
      </c>
      <c r="N35" s="75">
        <f t="shared" si="19"/>
        <v>422.8244519047883</v>
      </c>
      <c r="O35" s="75">
        <f>AVERAGE(J35:N35)</f>
        <v>422.82445190478836</v>
      </c>
      <c r="P35" s="75"/>
      <c r="Q35" s="75"/>
      <c r="R35" s="139"/>
    </row>
    <row r="36" spans="1:18">
      <c r="R36" s="139"/>
    </row>
    <row r="37" spans="1:18">
      <c r="B37" t="s">
        <v>160</v>
      </c>
      <c r="C37" s="71">
        <v>1620809</v>
      </c>
      <c r="D37" s="71">
        <v>1620343</v>
      </c>
      <c r="E37" s="71">
        <v>1636762</v>
      </c>
      <c r="F37" s="71">
        <v>1664182</v>
      </c>
      <c r="G37" s="71">
        <v>1636732</v>
      </c>
      <c r="H37" s="71">
        <v>1631411</v>
      </c>
      <c r="I37" s="71">
        <v>1634816</v>
      </c>
      <c r="J37" s="85">
        <v>1638906</v>
      </c>
      <c r="K37" s="85">
        <v>1643061</v>
      </c>
      <c r="L37" s="85">
        <v>1646636</v>
      </c>
      <c r="M37" s="85">
        <v>1649396</v>
      </c>
      <c r="N37" s="85">
        <v>1653261</v>
      </c>
      <c r="R37" s="139"/>
    </row>
    <row r="38" spans="1:18">
      <c r="B38" s="70" t="s">
        <v>161</v>
      </c>
      <c r="C38" s="71">
        <v>348747</v>
      </c>
      <c r="D38" s="71">
        <v>348990</v>
      </c>
      <c r="E38" s="71">
        <v>350065</v>
      </c>
      <c r="F38" s="71">
        <v>351986</v>
      </c>
      <c r="G38" s="71">
        <v>348738</v>
      </c>
      <c r="H38" s="71">
        <v>345006</v>
      </c>
      <c r="I38" s="71">
        <v>346181</v>
      </c>
      <c r="J38" s="85">
        <v>348532</v>
      </c>
      <c r="K38" s="85">
        <v>351260</v>
      </c>
      <c r="L38" s="85">
        <v>354071</v>
      </c>
      <c r="M38" s="85">
        <v>356888</v>
      </c>
      <c r="N38" s="85">
        <v>359657.5</v>
      </c>
      <c r="R38" s="139"/>
    </row>
    <row r="39" spans="1:18">
      <c r="B39" t="s">
        <v>162</v>
      </c>
      <c r="C39" s="63">
        <f>C38/C37</f>
        <v>0.21516847450871757</v>
      </c>
      <c r="D39" s="63">
        <f>D38/D37</f>
        <v>0.21538032379564079</v>
      </c>
      <c r="E39" s="63">
        <f>E38/E37</f>
        <v>0.21387654405466403</v>
      </c>
      <c r="F39" s="63">
        <f t="shared" ref="F39" si="20">F38/F37</f>
        <v>0.21150691450814874</v>
      </c>
      <c r="G39" s="63">
        <f>G38/G37</f>
        <v>0.21306970230923572</v>
      </c>
      <c r="H39" s="63">
        <f>H38/H37</f>
        <v>0.21147705881595746</v>
      </c>
      <c r="I39" s="63">
        <f t="shared" ref="I39:L39" si="21">I38/I37</f>
        <v>0.2117553290400877</v>
      </c>
      <c r="J39" s="74">
        <f t="shared" si="21"/>
        <v>0.21266137289142881</v>
      </c>
      <c r="K39" s="74">
        <f t="shared" si="21"/>
        <v>0.21378390698823721</v>
      </c>
      <c r="L39" s="74">
        <f t="shared" si="21"/>
        <v>0.21502687904309148</v>
      </c>
      <c r="M39" s="74">
        <f>M38/M37</f>
        <v>0.21637496392618874</v>
      </c>
      <c r="N39" s="74">
        <f>N38/N37</f>
        <v>0.21754429578874721</v>
      </c>
      <c r="R39" s="139"/>
    </row>
    <row r="40" spans="1:18">
      <c r="R40" s="139"/>
    </row>
    <row r="41" spans="1:18">
      <c r="A41" s="13">
        <f>AVERAGE(C41:G41)</f>
        <v>7.0123690809756108E-3</v>
      </c>
      <c r="B41" t="s">
        <v>163</v>
      </c>
      <c r="C41" s="63">
        <f t="shared" ref="C41:L41" si="22">C33/C38</f>
        <v>5.0179643122378118E-3</v>
      </c>
      <c r="D41" s="63">
        <f t="shared" si="22"/>
        <v>5.1577409094816472E-3</v>
      </c>
      <c r="E41" s="63">
        <f t="shared" si="22"/>
        <v>5.0304943367660291E-3</v>
      </c>
      <c r="F41" s="63">
        <f t="shared" si="22"/>
        <v>1.095498116402357E-2</v>
      </c>
      <c r="G41" s="63">
        <f t="shared" si="22"/>
        <v>8.900664682368999E-3</v>
      </c>
      <c r="H41" s="63">
        <f t="shared" si="22"/>
        <v>4.7211362101876493E-3</v>
      </c>
      <c r="I41" s="63">
        <f t="shared" si="22"/>
        <v>3.7356209337723336E-3</v>
      </c>
      <c r="J41" s="74">
        <f t="shared" si="22"/>
        <v>3.8217352214099921E-3</v>
      </c>
      <c r="K41" s="74">
        <f t="shared" si="22"/>
        <v>3.9058160074990646E-3</v>
      </c>
      <c r="L41" s="74">
        <f t="shared" si="22"/>
        <v>3.9910516216181083E-3</v>
      </c>
      <c r="M41" s="74">
        <f t="shared" ref="M41" si="23">M33/M38</f>
        <v>4.0783358024912113E-3</v>
      </c>
      <c r="N41" s="74">
        <f>N33/N38</f>
        <v>4.1683389922797884E-3</v>
      </c>
      <c r="R41" s="139"/>
    </row>
    <row r="42" spans="1:18">
      <c r="R42" s="139"/>
    </row>
    <row r="43" spans="1:18">
      <c r="B43" s="70" t="s">
        <v>164</v>
      </c>
      <c r="C43" s="71">
        <v>89565</v>
      </c>
      <c r="D43" s="71">
        <v>90052</v>
      </c>
      <c r="E43" s="71">
        <v>90192</v>
      </c>
      <c r="F43" s="71">
        <v>90436</v>
      </c>
      <c r="G43" s="71">
        <v>90727</v>
      </c>
      <c r="H43" s="71">
        <f>H37*H45</f>
        <v>89890.746100000004</v>
      </c>
      <c r="I43" s="71">
        <f>I37*I45</f>
        <v>90078.361600000004</v>
      </c>
      <c r="J43" s="90">
        <f t="shared" ref="J43:L43" si="24">J37*J45</f>
        <v>90303.720600000001</v>
      </c>
      <c r="K43" s="90">
        <f t="shared" si="24"/>
        <v>90532.661100000012</v>
      </c>
      <c r="L43" s="90">
        <f t="shared" si="24"/>
        <v>90729.64360000001</v>
      </c>
      <c r="M43" s="90">
        <f>M37*M45</f>
        <v>90881.719600000011</v>
      </c>
      <c r="N43" s="90">
        <f>N37*N45</f>
        <v>91094.681100000002</v>
      </c>
      <c r="R43" s="139"/>
    </row>
    <row r="44" spans="1:18">
      <c r="R44" s="139"/>
    </row>
    <row r="45" spans="1:18">
      <c r="A45" s="18">
        <f>AVERAGE(C45:G45)</f>
        <v>5.5142732155569849E-2</v>
      </c>
      <c r="B45" t="s">
        <v>165</v>
      </c>
      <c r="C45" s="63">
        <f>C43/C37</f>
        <v>5.5259441427089807E-2</v>
      </c>
      <c r="D45" s="63">
        <f>D43/D37</f>
        <v>5.5575887327559657E-2</v>
      </c>
      <c r="E45" s="63">
        <f t="shared" ref="E45:F45" si="25">E43/E37</f>
        <v>5.5103918590485364E-2</v>
      </c>
      <c r="F45" s="63">
        <f t="shared" si="25"/>
        <v>5.4342613968904843E-2</v>
      </c>
      <c r="G45" s="63">
        <f>G43/G37</f>
        <v>5.5431799463809592E-2</v>
      </c>
      <c r="H45" s="63">
        <v>5.5100000000000003E-2</v>
      </c>
      <c r="I45" s="63">
        <v>5.5100000000000003E-2</v>
      </c>
      <c r="J45" s="88">
        <v>5.5100000000000003E-2</v>
      </c>
      <c r="K45" s="88">
        <v>5.5100000000000003E-2</v>
      </c>
      <c r="L45" s="88">
        <v>5.5100000000000003E-2</v>
      </c>
      <c r="M45" s="88">
        <v>5.5100000000000003E-2</v>
      </c>
      <c r="N45" s="88">
        <v>5.5100000000000003E-2</v>
      </c>
      <c r="O45" s="99">
        <f>AVERAGE(H45:M45)</f>
        <v>5.5100000000000003E-2</v>
      </c>
      <c r="P45" s="99"/>
      <c r="Q45" s="99"/>
      <c r="R45" s="139"/>
    </row>
    <row r="46" spans="1:18">
      <c r="R46" s="139"/>
    </row>
    <row r="47" spans="1:18">
      <c r="A47" s="18">
        <f>AVERAGE(C47:G47)</f>
        <v>2.7180552411575402E-2</v>
      </c>
      <c r="B47" t="s">
        <v>168</v>
      </c>
      <c r="C47" s="63">
        <f>C33/C43</f>
        <v>1.9538882375928098E-2</v>
      </c>
      <c r="D47" s="63">
        <f>D33/D43</f>
        <v>1.9988451117132322E-2</v>
      </c>
      <c r="E47" s="63">
        <f>E33/E43</f>
        <v>1.9525013304949441E-2</v>
      </c>
      <c r="F47" s="63">
        <f>F33/F43</f>
        <v>4.2637887566898139E-2</v>
      </c>
      <c r="G47" s="63">
        <f>G33/G43</f>
        <v>3.4212527692969015E-2</v>
      </c>
      <c r="H47" s="63">
        <v>1.8120000000000001E-2</v>
      </c>
      <c r="I47" s="63">
        <v>1.43564E-2</v>
      </c>
      <c r="J47" s="137">
        <f>J34/J43</f>
        <v>1.4750222816400767E-2</v>
      </c>
      <c r="K47" s="137">
        <f>K33/K43</f>
        <v>1.5154275972057131E-2</v>
      </c>
      <c r="L47" s="137">
        <f t="shared" ref="L47:M47" si="26">L33/L43</f>
        <v>1.5575015867448475E-2</v>
      </c>
      <c r="M47" s="137">
        <f t="shared" si="26"/>
        <v>1.6015422180452266E-2</v>
      </c>
      <c r="N47" s="137">
        <f>N33/N43</f>
        <v>1.6457320702074098E-2</v>
      </c>
      <c r="O47" s="138">
        <f>AVERAGE(H47:M47)</f>
        <v>1.566188947272644E-2</v>
      </c>
      <c r="P47" s="138"/>
      <c r="Q47" s="138"/>
      <c r="R47" s="139"/>
    </row>
    <row r="48" spans="1:18"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</row>
    <row r="51" spans="1:21">
      <c r="B51" s="529" t="s">
        <v>135</v>
      </c>
      <c r="C51" s="529"/>
      <c r="D51" s="529"/>
      <c r="E51" s="529"/>
      <c r="F51" s="529"/>
      <c r="G51" s="529"/>
      <c r="H51" s="526" t="s">
        <v>167</v>
      </c>
      <c r="I51" s="527"/>
      <c r="J51" s="527"/>
      <c r="K51" s="527"/>
      <c r="L51" s="527"/>
      <c r="M51" s="528"/>
      <c r="N51" s="221"/>
    </row>
    <row r="54" spans="1:21">
      <c r="E54" s="63">
        <f>(E56-$D$9)/$D$9</f>
        <v>-1.8655000000000001E-2</v>
      </c>
      <c r="F54" s="63">
        <f t="shared" ref="F54:L54" si="27">(F56-$D$9)/$D$9</f>
        <v>0.54867333333333335</v>
      </c>
      <c r="G54" s="63">
        <f t="shared" si="27"/>
        <v>0.47484833333333332</v>
      </c>
      <c r="H54" s="80">
        <f t="shared" si="27"/>
        <v>0.25</v>
      </c>
      <c r="I54" s="80">
        <f t="shared" si="27"/>
        <v>0</v>
      </c>
      <c r="J54" s="80">
        <f t="shared" si="27"/>
        <v>-0.20833333333333334</v>
      </c>
      <c r="K54" s="80">
        <f t="shared" si="27"/>
        <v>-0.36666666666666664</v>
      </c>
      <c r="L54" s="80">
        <f t="shared" si="27"/>
        <v>-0.5</v>
      </c>
      <c r="M54" s="80">
        <f t="shared" ref="M54" si="28">(M56-$D$9)/$D$9</f>
        <v>-0.5</v>
      </c>
      <c r="N54" s="80"/>
    </row>
    <row r="55" spans="1:21">
      <c r="C55" s="72">
        <v>2017</v>
      </c>
      <c r="D55" s="73">
        <v>2018</v>
      </c>
      <c r="E55" s="73">
        <v>2019</v>
      </c>
      <c r="F55" s="73">
        <v>2020</v>
      </c>
      <c r="G55" s="73">
        <v>2021</v>
      </c>
      <c r="H55" s="81">
        <v>2022</v>
      </c>
      <c r="I55" s="81">
        <v>2023</v>
      </c>
      <c r="J55" s="81">
        <v>2024</v>
      </c>
      <c r="K55" s="81">
        <v>2025</v>
      </c>
      <c r="L55" s="81">
        <v>2026</v>
      </c>
      <c r="M55" s="81">
        <v>2027</v>
      </c>
      <c r="N55" s="222"/>
    </row>
    <row r="56" spans="1:21">
      <c r="B56" t="s">
        <v>136</v>
      </c>
      <c r="C56" s="62">
        <v>550000</v>
      </c>
      <c r="D56" s="71">
        <v>600000</v>
      </c>
      <c r="E56" s="217">
        <v>588807</v>
      </c>
      <c r="F56" s="217">
        <v>929204</v>
      </c>
      <c r="G56" s="217">
        <v>884909</v>
      </c>
      <c r="H56" s="82">
        <v>750000</v>
      </c>
      <c r="I56" s="82">
        <v>600000</v>
      </c>
      <c r="J56" s="82">
        <v>475000</v>
      </c>
      <c r="K56" s="82">
        <v>380000</v>
      </c>
      <c r="L56" s="82">
        <v>300000</v>
      </c>
      <c r="M56" s="82">
        <v>300000</v>
      </c>
      <c r="N56" s="82"/>
      <c r="O56" s="71">
        <f>AVERAGE(H56:M56)</f>
        <v>467500</v>
      </c>
      <c r="P56" s="71"/>
      <c r="Q56" s="71"/>
      <c r="T56">
        <v>816000</v>
      </c>
      <c r="U56">
        <f>T56/3</f>
        <v>272000</v>
      </c>
    </row>
    <row r="57" spans="1:21">
      <c r="B57" t="s">
        <v>137</v>
      </c>
      <c r="C57" s="62">
        <v>1750</v>
      </c>
      <c r="D57" s="71">
        <v>1800</v>
      </c>
      <c r="E57" s="217">
        <v>1761</v>
      </c>
      <c r="F57" s="217">
        <v>3856</v>
      </c>
      <c r="G57" s="217">
        <v>3104</v>
      </c>
      <c r="H57" s="87">
        <f t="shared" ref="H57:M57" si="29">H66*H70</f>
        <v>1746.9686695500002</v>
      </c>
      <c r="I57" s="87">
        <f t="shared" si="29"/>
        <v>1598.960124</v>
      </c>
      <c r="J57" s="87">
        <f t="shared" si="29"/>
        <v>1302.17337957</v>
      </c>
      <c r="K57" s="87">
        <f t="shared" si="29"/>
        <v>1104.3265975000002</v>
      </c>
      <c r="L57" s="87">
        <f t="shared" si="29"/>
        <v>951.67990476000011</v>
      </c>
      <c r="M57" s="87">
        <f t="shared" si="29"/>
        <v>905.38231159000009</v>
      </c>
      <c r="N57" s="87"/>
      <c r="O57" s="71">
        <f>AVERAGE(H57:M57)</f>
        <v>1268.2484978283335</v>
      </c>
      <c r="P57" s="71"/>
      <c r="Q57" s="71"/>
      <c r="T57">
        <v>900</v>
      </c>
      <c r="U57">
        <f>T57/3</f>
        <v>300</v>
      </c>
    </row>
    <row r="58" spans="1:21">
      <c r="A58" s="33">
        <f>AVERAGE(C58:G58)</f>
        <v>301.60826118484312</v>
      </c>
      <c r="C58">
        <f>C56/C57</f>
        <v>314.28571428571428</v>
      </c>
      <c r="D58">
        <f>D56/D57</f>
        <v>333.33333333333331</v>
      </c>
      <c r="E58">
        <f>E56/E57</f>
        <v>334.35945485519591</v>
      </c>
      <c r="F58">
        <f t="shared" ref="F58:L58" si="30">F56/F57</f>
        <v>240.97614107883817</v>
      </c>
      <c r="G58">
        <f t="shared" si="30"/>
        <v>285.08666237113403</v>
      </c>
      <c r="H58" s="83">
        <f t="shared" si="30"/>
        <v>429.3150833627667</v>
      </c>
      <c r="I58" s="83">
        <f t="shared" si="30"/>
        <v>375.2438794402355</v>
      </c>
      <c r="J58" s="83">
        <f t="shared" si="30"/>
        <v>364.7747738145693</v>
      </c>
      <c r="K58" s="83">
        <f t="shared" si="30"/>
        <v>344.10110275370772</v>
      </c>
      <c r="L58" s="83">
        <f t="shared" si="30"/>
        <v>315.23204230697257</v>
      </c>
      <c r="M58" s="83">
        <f t="shared" ref="M58" si="31">M56/M57</f>
        <v>331.35173523895196</v>
      </c>
      <c r="N58" s="83"/>
      <c r="O58" s="71">
        <f>AVERAGE(H58:M58)</f>
        <v>360.00310281953398</v>
      </c>
      <c r="P58" s="71"/>
      <c r="Q58" s="71"/>
    </row>
    <row r="60" spans="1:21">
      <c r="B60" t="s">
        <v>160</v>
      </c>
      <c r="C60" s="71">
        <v>1620809</v>
      </c>
      <c r="D60" s="71">
        <v>1620343</v>
      </c>
      <c r="E60" s="71">
        <v>1636762</v>
      </c>
      <c r="F60" s="71">
        <v>1664182</v>
      </c>
      <c r="G60" s="71">
        <v>1636732</v>
      </c>
      <c r="H60" s="86">
        <v>1625919</v>
      </c>
      <c r="I60" s="86">
        <v>1612180</v>
      </c>
      <c r="J60" s="86">
        <v>1607681</v>
      </c>
      <c r="K60" s="86">
        <v>1603378</v>
      </c>
      <c r="L60" s="86">
        <v>1599247</v>
      </c>
      <c r="M60" s="86">
        <v>1595303</v>
      </c>
      <c r="N60" s="86"/>
    </row>
    <row r="61" spans="1:21">
      <c r="B61" s="70" t="s">
        <v>161</v>
      </c>
      <c r="C61" s="71">
        <v>348747</v>
      </c>
      <c r="D61" s="71">
        <v>348990</v>
      </c>
      <c r="E61" s="71">
        <v>350065</v>
      </c>
      <c r="F61" s="71">
        <v>351986</v>
      </c>
      <c r="G61" s="71">
        <v>348738</v>
      </c>
      <c r="H61" s="86">
        <v>344103</v>
      </c>
      <c r="I61" s="86">
        <v>343716</v>
      </c>
      <c r="J61" s="86">
        <v>344423</v>
      </c>
      <c r="K61" s="86">
        <v>345466</v>
      </c>
      <c r="L61" s="86">
        <v>346871</v>
      </c>
      <c r="M61" s="86">
        <v>348521</v>
      </c>
      <c r="N61" s="86"/>
    </row>
    <row r="62" spans="1:21">
      <c r="B62" t="s">
        <v>162</v>
      </c>
      <c r="C62" s="63">
        <f>C61/C60</f>
        <v>0.21516847450871757</v>
      </c>
      <c r="D62" s="63">
        <f>D61/D60</f>
        <v>0.21538032379564079</v>
      </c>
      <c r="E62" s="63">
        <f>E61/E60</f>
        <v>0.21387654405466403</v>
      </c>
      <c r="F62" s="63">
        <f t="shared" ref="F62:G62" si="32">F61/F60</f>
        <v>0.21150691450814874</v>
      </c>
      <c r="G62" s="63">
        <f t="shared" si="32"/>
        <v>0.21306970230923572</v>
      </c>
      <c r="H62" s="80">
        <f t="shared" ref="H62:M62" si="33">H61/H60</f>
        <v>0.2116360040075797</v>
      </c>
      <c r="I62" s="80">
        <f t="shared" si="33"/>
        <v>0.213199518664169</v>
      </c>
      <c r="J62" s="80">
        <f t="shared" si="33"/>
        <v>0.21423590874060214</v>
      </c>
      <c r="K62" s="80">
        <f t="shared" si="33"/>
        <v>0.21546135720959125</v>
      </c>
      <c r="L62" s="80">
        <f t="shared" si="33"/>
        <v>0.21689645189267198</v>
      </c>
      <c r="M62" s="80">
        <f t="shared" si="33"/>
        <v>0.218466962075543</v>
      </c>
      <c r="N62" s="80"/>
    </row>
    <row r="64" spans="1:21">
      <c r="A64" s="13">
        <f>AVERAGE(C64:G64)</f>
        <v>7.0123690809756108E-3</v>
      </c>
      <c r="B64" t="s">
        <v>163</v>
      </c>
      <c r="C64" s="63">
        <f t="shared" ref="C64:L64" si="34">C57/C61</f>
        <v>5.0179643122378118E-3</v>
      </c>
      <c r="D64" s="63">
        <f t="shared" si="34"/>
        <v>5.1577409094816472E-3</v>
      </c>
      <c r="E64" s="63">
        <f t="shared" si="34"/>
        <v>5.0304943367660291E-3</v>
      </c>
      <c r="F64" s="63">
        <f t="shared" si="34"/>
        <v>1.095498116402357E-2</v>
      </c>
      <c r="G64" s="63">
        <f t="shared" si="34"/>
        <v>8.900664682368999E-3</v>
      </c>
      <c r="H64" s="80">
        <f t="shared" si="34"/>
        <v>5.0768771837211542E-3</v>
      </c>
      <c r="I64" s="80">
        <f t="shared" si="34"/>
        <v>4.6519804838878603E-3</v>
      </c>
      <c r="J64" s="80">
        <f t="shared" si="34"/>
        <v>3.7807387415184236E-3</v>
      </c>
      <c r="K64" s="80">
        <f t="shared" si="34"/>
        <v>3.1966288940156198E-3</v>
      </c>
      <c r="L64" s="80">
        <f t="shared" si="34"/>
        <v>2.7436133454800202E-3</v>
      </c>
      <c r="M64" s="80">
        <f>M57/M61</f>
        <v>2.597784097916625E-3</v>
      </c>
      <c r="N64" s="80"/>
    </row>
    <row r="66" spans="1:17">
      <c r="B66" s="70" t="s">
        <v>164</v>
      </c>
      <c r="C66" s="71">
        <v>89565</v>
      </c>
      <c r="D66" s="71">
        <v>90052</v>
      </c>
      <c r="E66" s="71">
        <v>90192</v>
      </c>
      <c r="F66" s="71">
        <v>90436</v>
      </c>
      <c r="G66" s="71">
        <v>90727</v>
      </c>
      <c r="H66" s="91">
        <f>H60*H68</f>
        <v>89588.136900000012</v>
      </c>
      <c r="I66" s="91">
        <f t="shared" ref="I66:L66" si="35">I60*I68</f>
        <v>88831.118000000002</v>
      </c>
      <c r="J66" s="91">
        <f t="shared" si="35"/>
        <v>88583.223100000003</v>
      </c>
      <c r="K66" s="91">
        <f t="shared" si="35"/>
        <v>88346.127800000002</v>
      </c>
      <c r="L66" s="91">
        <f t="shared" si="35"/>
        <v>88118.50970000001</v>
      </c>
      <c r="M66" s="91">
        <f t="shared" ref="M66" si="36">M60*M68</f>
        <v>87901.195300000007</v>
      </c>
      <c r="N66" s="91"/>
    </row>
    <row r="68" spans="1:17">
      <c r="A68" s="18">
        <f>AVERAGE(C68:G68)</f>
        <v>5.5142732155569849E-2</v>
      </c>
      <c r="B68" t="s">
        <v>165</v>
      </c>
      <c r="C68" s="63">
        <f>C66/C60</f>
        <v>5.5259441427089807E-2</v>
      </c>
      <c r="D68" s="63">
        <f t="shared" ref="D68:E68" si="37">D66/D60</f>
        <v>5.5575887327559657E-2</v>
      </c>
      <c r="E68" s="63">
        <f t="shared" si="37"/>
        <v>5.5103918590485364E-2</v>
      </c>
      <c r="F68" s="63">
        <f>F66/F60</f>
        <v>5.4342613968904843E-2</v>
      </c>
      <c r="G68" s="63">
        <f>G66/G60</f>
        <v>5.5431799463809592E-2</v>
      </c>
      <c r="H68" s="88">
        <v>5.5100000000000003E-2</v>
      </c>
      <c r="I68" s="88">
        <v>5.5100000000000003E-2</v>
      </c>
      <c r="J68" s="88">
        <v>5.5100000000000003E-2</v>
      </c>
      <c r="K68" s="88">
        <v>5.5100000000000003E-2</v>
      </c>
      <c r="L68" s="88">
        <v>5.5100000000000003E-2</v>
      </c>
      <c r="M68" s="88">
        <v>5.5100000000000003E-2</v>
      </c>
      <c r="N68" s="88"/>
      <c r="O68" s="99">
        <f>AVERAGE(H68:M68)</f>
        <v>5.5100000000000003E-2</v>
      </c>
      <c r="P68" s="99"/>
      <c r="Q68" s="99"/>
    </row>
    <row r="69" spans="1:17">
      <c r="O69" s="99"/>
      <c r="P69" s="99"/>
      <c r="Q69" s="99"/>
    </row>
    <row r="70" spans="1:17">
      <c r="A70" s="18">
        <f>AVERAGE(C70:G70)</f>
        <v>2.7180552411575402E-2</v>
      </c>
      <c r="B70" t="s">
        <v>168</v>
      </c>
      <c r="C70" s="63">
        <f t="shared" ref="C70:G70" si="38">C57/C66</f>
        <v>1.9538882375928098E-2</v>
      </c>
      <c r="D70" s="63">
        <f t="shared" si="38"/>
        <v>1.9988451117132322E-2</v>
      </c>
      <c r="E70" s="63">
        <f t="shared" si="38"/>
        <v>1.9525013304949441E-2</v>
      </c>
      <c r="F70" s="63">
        <f t="shared" si="38"/>
        <v>4.2637887566898139E-2</v>
      </c>
      <c r="G70" s="63">
        <f t="shared" si="38"/>
        <v>3.4212527692969015E-2</v>
      </c>
      <c r="H70" s="63">
        <v>1.95E-2</v>
      </c>
      <c r="I70" s="63">
        <v>1.7999999999999999E-2</v>
      </c>
      <c r="J70" s="63">
        <v>1.47E-2</v>
      </c>
      <c r="K70" s="63">
        <v>1.2500000000000001E-2</v>
      </c>
      <c r="L70" s="63">
        <v>1.0800000000000001E-2</v>
      </c>
      <c r="M70" s="63">
        <v>1.03E-2</v>
      </c>
      <c r="N70" s="63"/>
      <c r="O70" s="99">
        <f>AVERAGE(H70:M70)</f>
        <v>1.43E-2</v>
      </c>
      <c r="P70" s="99"/>
      <c r="Q70" s="99"/>
    </row>
  </sheetData>
  <mergeCells count="6">
    <mergeCell ref="H4:M4"/>
    <mergeCell ref="H27:M27"/>
    <mergeCell ref="H51:M51"/>
    <mergeCell ref="B4:G4"/>
    <mergeCell ref="B27:G27"/>
    <mergeCell ref="B51:G51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J58"/>
  <sheetViews>
    <sheetView workbookViewId="0">
      <selection activeCell="G28" sqref="G28"/>
    </sheetView>
  </sheetViews>
  <sheetFormatPr defaultRowHeight="14.5"/>
  <cols>
    <col min="1" max="1" width="55.26953125" bestFit="1" customWidth="1"/>
    <col min="2" max="2" width="9.81640625" style="160" customWidth="1"/>
    <col min="3" max="3" width="12" hidden="1" customWidth="1"/>
    <col min="4" max="8" width="12" bestFit="1" customWidth="1"/>
    <col min="9" max="9" width="11.54296875" bestFit="1" customWidth="1"/>
    <col min="10" max="10" width="12" bestFit="1" customWidth="1"/>
  </cols>
  <sheetData>
    <row r="2" spans="1:10">
      <c r="A2" s="343"/>
      <c r="B2" s="343"/>
      <c r="C2" s="343"/>
      <c r="D2" s="343"/>
      <c r="E2" s="343"/>
      <c r="F2" s="343"/>
      <c r="G2" s="343"/>
      <c r="H2" s="343"/>
      <c r="I2" s="343"/>
      <c r="J2" s="343"/>
    </row>
    <row r="3" spans="1:10" ht="43.5">
      <c r="B3" s="159" t="s">
        <v>79</v>
      </c>
      <c r="C3" s="158" t="s">
        <v>232</v>
      </c>
      <c r="D3" s="158" t="s">
        <v>233</v>
      </c>
      <c r="E3" s="158" t="s">
        <v>234</v>
      </c>
      <c r="F3" s="158" t="s">
        <v>235</v>
      </c>
      <c r="G3" s="158" t="s">
        <v>236</v>
      </c>
      <c r="H3" s="158" t="s">
        <v>237</v>
      </c>
      <c r="I3" s="158" t="s">
        <v>261</v>
      </c>
      <c r="J3" s="343"/>
    </row>
    <row r="4" spans="1:10">
      <c r="A4" s="8" t="s">
        <v>73</v>
      </c>
      <c r="C4" s="157"/>
      <c r="D4" s="157"/>
      <c r="E4" s="157"/>
      <c r="F4" s="157"/>
      <c r="G4" s="157"/>
      <c r="H4" s="157"/>
      <c r="I4" s="157"/>
      <c r="J4" s="343"/>
    </row>
    <row r="5" spans="1:10">
      <c r="A5" s="26" t="s">
        <v>204</v>
      </c>
      <c r="B5" s="160">
        <f>'Despeses Personal 2023'!B8</f>
        <v>16</v>
      </c>
      <c r="C5" s="153">
        <f>PROPOSTA2022!H21</f>
        <v>38218.239999999998</v>
      </c>
      <c r="D5" s="153">
        <f>PROPOSTA2023!H21</f>
        <v>33007.15</v>
      </c>
      <c r="E5" s="153">
        <f>PROPOSTA2024!H21</f>
        <v>33007.15</v>
      </c>
      <c r="F5" s="153">
        <f>PROPOSTA2025!H21</f>
        <v>33832.33</v>
      </c>
      <c r="G5" s="153">
        <f>PROPOSTA2026!H21</f>
        <v>34508.97</v>
      </c>
      <c r="H5" s="153">
        <f>PROPOSTA2027!H21</f>
        <v>35199.15</v>
      </c>
      <c r="I5" s="153" t="e">
        <f>#REF!</f>
        <v>#REF!</v>
      </c>
      <c r="J5" s="343"/>
    </row>
    <row r="6" spans="1:10">
      <c r="A6" s="26" t="s">
        <v>205</v>
      </c>
      <c r="B6" s="160">
        <f>'Despeses Personal 2023'!B5</f>
        <v>6</v>
      </c>
      <c r="C6" s="154">
        <f>PROPOSTA2022!H22</f>
        <v>10067.6</v>
      </c>
      <c r="D6" s="154">
        <f>PROPOSTA2023!H22</f>
        <v>10349.64</v>
      </c>
      <c r="E6" s="154">
        <f>PROPOSTA2024!H22</f>
        <v>10349.64</v>
      </c>
      <c r="F6" s="154">
        <f>PROPOSTA2025!H22</f>
        <v>10608.38</v>
      </c>
      <c r="G6" s="154">
        <f>PROPOSTA2026!H22</f>
        <v>10820.55</v>
      </c>
      <c r="H6" s="154">
        <f>PROPOSTA2027!H22</f>
        <v>11036.96</v>
      </c>
      <c r="I6" s="154" t="e">
        <f>#REF!</f>
        <v>#REF!</v>
      </c>
      <c r="J6" s="343"/>
    </row>
    <row r="7" spans="1:10">
      <c r="A7" s="26"/>
      <c r="C7" s="154"/>
      <c r="D7" s="154"/>
      <c r="E7" s="154"/>
      <c r="F7" s="154"/>
      <c r="G7" s="154"/>
      <c r="H7" s="154"/>
      <c r="I7" s="154"/>
      <c r="J7" s="343"/>
    </row>
    <row r="8" spans="1:10">
      <c r="A8" s="8" t="s">
        <v>74</v>
      </c>
      <c r="C8" s="154"/>
      <c r="D8" s="154"/>
      <c r="E8" s="154"/>
      <c r="F8" s="154"/>
      <c r="G8" s="154"/>
      <c r="H8" s="154"/>
      <c r="I8" s="154"/>
      <c r="J8" s="343"/>
    </row>
    <row r="9" spans="1:10">
      <c r="A9" s="26" t="s">
        <v>206</v>
      </c>
      <c r="B9" s="160">
        <f>'Despeses Personal 2023'!B10</f>
        <v>1</v>
      </c>
      <c r="C9" s="154">
        <f>PROPOSTA2022!H25</f>
        <v>2181.81</v>
      </c>
      <c r="D9" s="154">
        <f>PROPOSTA2023!H25</f>
        <v>2251.23</v>
      </c>
      <c r="E9" s="154">
        <f>PROPOSTA2024!H25</f>
        <v>2251.23</v>
      </c>
      <c r="F9" s="154">
        <f>PROPOSTA2025!H25</f>
        <v>2307.5100000000002</v>
      </c>
      <c r="G9" s="154">
        <f>PROPOSTA2026!H25</f>
        <v>2353.66</v>
      </c>
      <c r="H9" s="154">
        <f>PROPOSTA2027!H25</f>
        <v>2400.7399999999998</v>
      </c>
      <c r="I9" s="154" t="e">
        <f>#REF!</f>
        <v>#REF!</v>
      </c>
      <c r="J9" s="343"/>
    </row>
    <row r="10" spans="1:10">
      <c r="A10" s="26" t="s">
        <v>207</v>
      </c>
      <c r="B10" s="160">
        <f>'Despeses Personal 2023'!B9</f>
        <v>1</v>
      </c>
      <c r="C10" s="154">
        <f>PROPOSTA2022!H26</f>
        <v>1871.77</v>
      </c>
      <c r="D10" s="154">
        <f>PROPOSTA2023!H26</f>
        <v>2460.71</v>
      </c>
      <c r="E10" s="154">
        <f>PROPOSTA2024!H26</f>
        <v>2460.71</v>
      </c>
      <c r="F10" s="154">
        <f>PROPOSTA2025!H26</f>
        <v>2522.23</v>
      </c>
      <c r="G10" s="154">
        <f>PROPOSTA2026!H26</f>
        <v>2572.67</v>
      </c>
      <c r="H10" s="154">
        <f>PROPOSTA2027!H26</f>
        <v>2624.13</v>
      </c>
      <c r="I10" s="154" t="e">
        <f>#REF!</f>
        <v>#REF!</v>
      </c>
      <c r="J10" s="343"/>
    </row>
    <row r="11" spans="1:10">
      <c r="A11" s="26" t="s">
        <v>208</v>
      </c>
      <c r="B11" s="160">
        <f>'Despeses Personal 2023'!B3</f>
        <v>1</v>
      </c>
      <c r="C11" s="154">
        <f>PROPOSTA2022!H27</f>
        <v>1996.9</v>
      </c>
      <c r="D11" s="154">
        <f>PROPOSTA2023!H27</f>
        <v>2108.2399999999998</v>
      </c>
      <c r="E11" s="154">
        <f>PROPOSTA2024!H27</f>
        <v>2108.2399999999998</v>
      </c>
      <c r="F11" s="154">
        <f>PROPOSTA2025!H27</f>
        <v>2160.94</v>
      </c>
      <c r="G11" s="154">
        <f>PROPOSTA2026!H27</f>
        <v>2204.16</v>
      </c>
      <c r="H11" s="154">
        <f>PROPOSTA2027!H27</f>
        <v>2248.25</v>
      </c>
      <c r="I11" s="154" t="e">
        <f>#REF!</f>
        <v>#REF!</v>
      </c>
      <c r="J11" s="343"/>
    </row>
    <row r="12" spans="1:10">
      <c r="A12" s="26" t="s">
        <v>209</v>
      </c>
      <c r="B12" s="160">
        <f>'Despeses Personal 2023'!B4</f>
        <v>2</v>
      </c>
      <c r="C12" s="154">
        <f>PROPOSTA2022!H28</f>
        <v>3467.23</v>
      </c>
      <c r="D12" s="154">
        <f>PROPOSTA2023!H28</f>
        <v>3753.62</v>
      </c>
      <c r="E12" s="154">
        <f>PROPOSTA2024!H28</f>
        <v>3753.62</v>
      </c>
      <c r="F12" s="154">
        <f>PROPOSTA2025!H28</f>
        <v>3847.46</v>
      </c>
      <c r="G12" s="154">
        <f>PROPOSTA2026!H28</f>
        <v>3924.41</v>
      </c>
      <c r="H12" s="154">
        <f>PROPOSTA2027!H28</f>
        <v>4002.89</v>
      </c>
      <c r="I12" s="154" t="e">
        <f>#REF!</f>
        <v>#REF!</v>
      </c>
      <c r="J12" s="343"/>
    </row>
    <row r="13" spans="1:10">
      <c r="A13" s="26" t="s">
        <v>210</v>
      </c>
      <c r="B13" s="160">
        <f>'Despeses Personal 2023'!B11</f>
        <v>1</v>
      </c>
      <c r="C13" s="154">
        <f>PROPOSTA2022!H29</f>
        <v>1996.9</v>
      </c>
      <c r="D13" s="154">
        <f>PROPOSTA2023!H29</f>
        <v>2108.2399999999998</v>
      </c>
      <c r="E13" s="154">
        <f>PROPOSTA2024!H29</f>
        <v>2108.2399999999998</v>
      </c>
      <c r="F13" s="154">
        <f>PROPOSTA2025!H29</f>
        <v>2160.94</v>
      </c>
      <c r="G13" s="154">
        <f>PROPOSTA2026!H29</f>
        <v>2204.16</v>
      </c>
      <c r="H13" s="154">
        <f>PROPOSTA2027!H29</f>
        <v>2248.25</v>
      </c>
      <c r="I13" s="154" t="e">
        <f>#REF!</f>
        <v>#REF!</v>
      </c>
      <c r="J13" s="343"/>
    </row>
    <row r="14" spans="1:10">
      <c r="C14" s="154"/>
      <c r="D14" s="154"/>
      <c r="E14" s="154"/>
      <c r="F14" s="154"/>
      <c r="G14" s="154"/>
      <c r="H14" s="154"/>
      <c r="I14" s="154"/>
      <c r="J14" s="343"/>
    </row>
    <row r="15" spans="1:10">
      <c r="A15" t="s">
        <v>211</v>
      </c>
      <c r="C15" s="154">
        <f>ROUND(($C$5+$C$6+SUM($C$9:$C$13))*'Estimacio index increm salarial'!$G$7,2)</f>
        <v>2392.02</v>
      </c>
      <c r="D15" s="154">
        <f>ROUND(($D$5+$D$6+SUM($D$9:$D$13))*'Estimacio index increm salarial'!$G$8,2)</f>
        <v>1681.16</v>
      </c>
      <c r="E15" s="154">
        <f>ROUND(($E$5+$E$6+SUM($E$9:$E$13))*'Estimacio index increm salarial'!$G$9,2)</f>
        <v>1120.78</v>
      </c>
      <c r="F15" s="154">
        <f>ROUND(($F$5+$F$6+SUM($F$9:$F$13))*'Estimacio index increm salarial'!$G$10,2)</f>
        <v>1148.8</v>
      </c>
      <c r="G15" s="154">
        <f>ROUND(($G$5+$G$6+SUM($G$9:$G$13))*'Estimacio index increm salarial'!$G$11,2)</f>
        <v>878.83</v>
      </c>
      <c r="H15" s="154">
        <f>ROUND(($H$5+$H$6+SUM($H$9:$H$13))*'Estimacio index increm salarial'!$G$12,2)</f>
        <v>597.6</v>
      </c>
      <c r="I15" s="154" t="e">
        <f>ROUND(($I$5+$I$6+SUM($I$9:$I$13))*'Estimacio index increm salarial'!$G$13,2)</f>
        <v>#REF!</v>
      </c>
      <c r="J15" s="343"/>
    </row>
    <row r="16" spans="1:10">
      <c r="C16" s="154"/>
      <c r="D16" s="154"/>
      <c r="E16" s="154"/>
      <c r="F16" s="154"/>
      <c r="G16" s="154"/>
      <c r="H16" s="154"/>
      <c r="I16" s="154"/>
      <c r="J16" s="343"/>
    </row>
    <row r="17" spans="1:10">
      <c r="A17" s="32" t="s">
        <v>77</v>
      </c>
      <c r="B17" s="161">
        <f>SUM(B5:B15)</f>
        <v>28</v>
      </c>
      <c r="C17" s="155">
        <f>C5+C6+SUM(C9:C13)+SUM(C15:C15)</f>
        <v>62192.469999999994</v>
      </c>
      <c r="D17" s="155">
        <f t="shared" ref="D17:G17" si="0">D5+D6+SUM(D9:D13)+SUM(D15:D15)</f>
        <v>57719.990000000005</v>
      </c>
      <c r="E17" s="155">
        <f t="shared" si="0"/>
        <v>57159.61</v>
      </c>
      <c r="F17" s="155">
        <f t="shared" si="0"/>
        <v>58588.590000000004</v>
      </c>
      <c r="G17" s="155">
        <f t="shared" si="0"/>
        <v>59467.41</v>
      </c>
      <c r="H17" s="155">
        <f>H5+H6+SUM(H9:H13)+SUM(H15:H15)</f>
        <v>60357.97</v>
      </c>
      <c r="I17" s="155" t="e">
        <f>I5+I6+SUM(I9:I13)+SUM(I15:I15)</f>
        <v>#REF!</v>
      </c>
      <c r="J17" s="343"/>
    </row>
    <row r="18" spans="1:10">
      <c r="C18" s="164"/>
      <c r="D18" s="164"/>
      <c r="E18" s="164"/>
      <c r="F18" s="164"/>
      <c r="G18" s="164"/>
      <c r="H18" s="164"/>
      <c r="I18" s="164"/>
      <c r="J18" s="343"/>
    </row>
    <row r="19" spans="1:10">
      <c r="A19" s="8" t="s">
        <v>75</v>
      </c>
      <c r="B19" s="162"/>
      <c r="C19" s="164"/>
      <c r="D19" s="164"/>
      <c r="E19" s="164"/>
      <c r="F19" s="164"/>
      <c r="G19" s="164"/>
      <c r="H19" s="164"/>
      <c r="I19" s="164"/>
      <c r="J19" s="343"/>
    </row>
    <row r="20" spans="1:10">
      <c r="A20" s="26" t="s">
        <v>215</v>
      </c>
      <c r="B20" s="160">
        <f>'Despeses Personal 2023'!B7</f>
        <v>2</v>
      </c>
      <c r="C20" s="154"/>
      <c r="D20" s="154"/>
      <c r="E20" s="154"/>
      <c r="F20" s="154"/>
      <c r="G20" s="154"/>
      <c r="H20" s="154"/>
      <c r="I20" s="154"/>
      <c r="J20" s="343"/>
    </row>
    <row r="21" spans="1:10">
      <c r="A21" s="26" t="s">
        <v>216</v>
      </c>
      <c r="B21" s="160">
        <f>'Despeses Personal 2023'!B12</f>
        <v>2</v>
      </c>
      <c r="C21" s="154"/>
      <c r="D21" s="154"/>
      <c r="E21" s="154"/>
      <c r="F21" s="154"/>
      <c r="G21" s="154"/>
      <c r="H21" s="154"/>
      <c r="I21" s="154"/>
      <c r="J21" s="343"/>
    </row>
    <row r="22" spans="1:10">
      <c r="A22" s="26" t="s">
        <v>217</v>
      </c>
      <c r="B22" s="160">
        <f>'Despeses Personal 2023'!B6</f>
        <v>2</v>
      </c>
      <c r="C22" s="154"/>
      <c r="D22" s="154"/>
      <c r="E22" s="154"/>
      <c r="F22" s="154"/>
      <c r="G22" s="154"/>
      <c r="H22" s="154"/>
      <c r="I22" s="154"/>
      <c r="J22" s="343"/>
    </row>
    <row r="23" spans="1:10">
      <c r="C23" s="154"/>
      <c r="D23" s="154"/>
      <c r="E23" s="154"/>
      <c r="F23" s="154"/>
      <c r="G23" s="154"/>
      <c r="H23" s="154"/>
      <c r="I23" s="154"/>
      <c r="J23" s="343"/>
    </row>
    <row r="24" spans="1:10">
      <c r="A24" t="s">
        <v>211</v>
      </c>
      <c r="C24" s="154">
        <f>ROUND((SUM($C$20:$C$22))*'Estimacio index increm salarial'!$G$7,2)</f>
        <v>0</v>
      </c>
      <c r="D24" s="154">
        <f>ROUND((SUM($D$20:$D$22))*'Estimacio index increm salarial'!$G$8,2)</f>
        <v>0</v>
      </c>
      <c r="E24" s="154">
        <f>ROUND((SUM($E$20:$E$22))*'Estimacio index increm salarial'!$G$9,2)</f>
        <v>0</v>
      </c>
      <c r="F24" s="154">
        <f>ROUND((SUM($F$20:$F$22))*'Estimacio index increm salarial'!$G$10,2)</f>
        <v>0</v>
      </c>
      <c r="G24" s="154">
        <f>ROUND((SUM($G$20:$G$22))*'Estimacio index increm salarial'!$G$11,2)</f>
        <v>0</v>
      </c>
      <c r="H24" s="154">
        <f>ROUND((SUM($H$20:$H$22))*'Estimacio index increm salarial'!$G$12,2)</f>
        <v>0</v>
      </c>
      <c r="I24" s="154">
        <f>ROUND((SUM($I$20:$I$22))*'Estimacio index increm salarial'!$G$13,2)</f>
        <v>0</v>
      </c>
      <c r="J24" s="343"/>
    </row>
    <row r="25" spans="1:10">
      <c r="C25" s="164"/>
      <c r="D25" s="164"/>
      <c r="E25" s="164"/>
      <c r="F25" s="164"/>
      <c r="G25" s="164"/>
      <c r="H25" s="164"/>
      <c r="I25" s="164"/>
      <c r="J25" s="343"/>
    </row>
    <row r="26" spans="1:10">
      <c r="A26" s="32" t="s">
        <v>76</v>
      </c>
      <c r="B26" s="161">
        <f>SUM(B20:B24)</f>
        <v>6</v>
      </c>
      <c r="C26" s="155">
        <f>SUM(C20:C22)+SUM(C24:C24)</f>
        <v>0</v>
      </c>
      <c r="D26" s="155">
        <f>SUM(D20:D22)+SUM(D24:D24)</f>
        <v>0</v>
      </c>
      <c r="E26" s="155">
        <f t="shared" ref="E26:H26" si="1">SUM(E20:E22)+SUM(E24:E24)</f>
        <v>0</v>
      </c>
      <c r="F26" s="155">
        <f>SUM(F20:F22)+SUM(F24:F24)</f>
        <v>0</v>
      </c>
      <c r="G26" s="155">
        <f>SUM(G20:G22)+SUM(G24:G24)</f>
        <v>0</v>
      </c>
      <c r="H26" s="155">
        <f t="shared" si="1"/>
        <v>0</v>
      </c>
      <c r="I26" s="155">
        <f t="shared" ref="I26" si="2">SUM(I20:I22)+SUM(I24:I24)</f>
        <v>0</v>
      </c>
      <c r="J26" s="343"/>
    </row>
    <row r="27" spans="1:10" ht="15" thickBot="1">
      <c r="C27" s="154"/>
      <c r="D27" s="154"/>
      <c r="E27" s="154"/>
      <c r="F27" s="154"/>
      <c r="G27" s="154"/>
      <c r="H27" s="154"/>
      <c r="I27" s="154"/>
      <c r="J27" s="343"/>
    </row>
    <row r="28" spans="1:10" ht="15" thickBot="1">
      <c r="A28" s="31" t="s">
        <v>82</v>
      </c>
      <c r="B28" s="163">
        <f>B17+B26</f>
        <v>34</v>
      </c>
      <c r="C28" s="156">
        <f>C17+C26</f>
        <v>62192.469999999994</v>
      </c>
      <c r="D28" s="156">
        <f t="shared" ref="D28:G28" si="3">D17+D26</f>
        <v>57719.990000000005</v>
      </c>
      <c r="E28" s="156">
        <f t="shared" si="3"/>
        <v>57159.61</v>
      </c>
      <c r="F28" s="156">
        <f t="shared" si="3"/>
        <v>58588.590000000004</v>
      </c>
      <c r="G28" s="156">
        <f t="shared" si="3"/>
        <v>59467.41</v>
      </c>
      <c r="H28" s="156">
        <f>H17+H26</f>
        <v>60357.97</v>
      </c>
      <c r="I28" s="156" t="e">
        <f>I17+I26</f>
        <v>#REF!</v>
      </c>
      <c r="J28" s="343"/>
    </row>
    <row r="29" spans="1:10">
      <c r="A29" s="343"/>
      <c r="B29" s="344"/>
      <c r="C29" s="343"/>
      <c r="D29" s="343"/>
      <c r="E29" s="343"/>
      <c r="F29" s="343"/>
      <c r="G29" s="343"/>
      <c r="H29" s="343"/>
      <c r="I29" s="343"/>
      <c r="J29" s="343"/>
    </row>
    <row r="30" spans="1:10">
      <c r="B30"/>
    </row>
    <row r="31" spans="1:10" ht="43.5">
      <c r="B31" s="159" t="s">
        <v>79</v>
      </c>
      <c r="C31" s="158" t="s">
        <v>232</v>
      </c>
      <c r="D31" s="158" t="s">
        <v>233</v>
      </c>
      <c r="E31" s="158" t="s">
        <v>234</v>
      </c>
      <c r="F31" s="158" t="s">
        <v>235</v>
      </c>
      <c r="G31" s="158" t="s">
        <v>236</v>
      </c>
      <c r="H31" s="158" t="s">
        <v>237</v>
      </c>
      <c r="I31" s="158" t="s">
        <v>261</v>
      </c>
    </row>
    <row r="32" spans="1:10">
      <c r="A32" s="8" t="s">
        <v>73</v>
      </c>
      <c r="C32" s="157"/>
      <c r="D32" s="157"/>
      <c r="E32" s="157"/>
      <c r="F32" s="157"/>
      <c r="G32" s="157"/>
      <c r="H32" s="157"/>
      <c r="I32" s="157"/>
    </row>
    <row r="33" spans="1:10">
      <c r="A33" s="26" t="s">
        <v>204</v>
      </c>
      <c r="B33" s="160">
        <f>B5</f>
        <v>16</v>
      </c>
      <c r="C33" s="153">
        <f>C5</f>
        <v>38218.239999999998</v>
      </c>
      <c r="D33" s="153">
        <f t="shared" ref="D33:H33" si="4">D5</f>
        <v>33007.15</v>
      </c>
      <c r="E33" s="153">
        <f t="shared" si="4"/>
        <v>33007.15</v>
      </c>
      <c r="F33" s="153">
        <f t="shared" si="4"/>
        <v>33832.33</v>
      </c>
      <c r="G33" s="153">
        <f t="shared" si="4"/>
        <v>34508.97</v>
      </c>
      <c r="H33" s="153">
        <f t="shared" si="4"/>
        <v>35199.15</v>
      </c>
      <c r="I33" s="153" t="e">
        <f t="shared" ref="I33" si="5">I5</f>
        <v>#REF!</v>
      </c>
    </row>
    <row r="34" spans="1:10">
      <c r="A34" s="26" t="s">
        <v>205</v>
      </c>
      <c r="B34" s="160">
        <f t="shared" ref="B34:C39" si="6">B6</f>
        <v>6</v>
      </c>
      <c r="C34" s="154">
        <f t="shared" si="6"/>
        <v>10067.6</v>
      </c>
      <c r="D34" s="154">
        <f t="shared" ref="D34:H34" si="7">D6</f>
        <v>10349.64</v>
      </c>
      <c r="E34" s="154">
        <f t="shared" si="7"/>
        <v>10349.64</v>
      </c>
      <c r="F34" s="154">
        <f t="shared" si="7"/>
        <v>10608.38</v>
      </c>
      <c r="G34" s="154">
        <f t="shared" si="7"/>
        <v>10820.55</v>
      </c>
      <c r="H34" s="154">
        <f t="shared" si="7"/>
        <v>11036.96</v>
      </c>
      <c r="I34" s="154" t="e">
        <f t="shared" ref="I34" si="8">I6</f>
        <v>#REF!</v>
      </c>
    </row>
    <row r="35" spans="1:10">
      <c r="A35" s="26"/>
      <c r="C35" s="154"/>
      <c r="D35" s="154"/>
      <c r="E35" s="154"/>
      <c r="F35" s="154"/>
      <c r="G35" s="154"/>
      <c r="H35" s="154"/>
      <c r="I35" s="154"/>
    </row>
    <row r="36" spans="1:10">
      <c r="A36" s="8" t="s">
        <v>74</v>
      </c>
      <c r="C36" s="154"/>
      <c r="D36" s="154"/>
      <c r="E36" s="154"/>
      <c r="F36" s="154"/>
      <c r="G36" s="154"/>
      <c r="H36" s="154"/>
      <c r="I36" s="154"/>
    </row>
    <row r="37" spans="1:10">
      <c r="A37" s="26" t="s">
        <v>206</v>
      </c>
      <c r="B37" s="160">
        <f t="shared" si="6"/>
        <v>1</v>
      </c>
      <c r="C37" s="154">
        <f t="shared" ref="C37:H39" si="9">C9</f>
        <v>2181.81</v>
      </c>
      <c r="D37" s="154">
        <f t="shared" si="9"/>
        <v>2251.23</v>
      </c>
      <c r="E37" s="154">
        <f t="shared" si="9"/>
        <v>2251.23</v>
      </c>
      <c r="F37" s="154">
        <f t="shared" si="9"/>
        <v>2307.5100000000002</v>
      </c>
      <c r="G37" s="154">
        <f t="shared" si="9"/>
        <v>2353.66</v>
      </c>
      <c r="H37" s="154">
        <f t="shared" si="9"/>
        <v>2400.7399999999998</v>
      </c>
      <c r="I37" s="154" t="e">
        <f t="shared" ref="I37" si="10">I9</f>
        <v>#REF!</v>
      </c>
    </row>
    <row r="38" spans="1:10">
      <c r="A38" s="26" t="s">
        <v>207</v>
      </c>
      <c r="B38" s="160">
        <f t="shared" si="6"/>
        <v>1</v>
      </c>
      <c r="C38" s="154">
        <f t="shared" si="9"/>
        <v>1871.77</v>
      </c>
      <c r="D38" s="154">
        <f t="shared" si="9"/>
        <v>2460.71</v>
      </c>
      <c r="E38" s="154">
        <f t="shared" si="9"/>
        <v>2460.71</v>
      </c>
      <c r="F38" s="154">
        <f t="shared" si="9"/>
        <v>2522.23</v>
      </c>
      <c r="G38" s="154">
        <f t="shared" si="9"/>
        <v>2572.67</v>
      </c>
      <c r="H38" s="154">
        <f t="shared" si="9"/>
        <v>2624.13</v>
      </c>
      <c r="I38" s="154" t="e">
        <f t="shared" ref="I38" si="11">I10</f>
        <v>#REF!</v>
      </c>
    </row>
    <row r="39" spans="1:10">
      <c r="A39" s="26" t="s">
        <v>208</v>
      </c>
      <c r="B39" s="160">
        <f t="shared" si="6"/>
        <v>1</v>
      </c>
      <c r="C39" s="154">
        <f t="shared" si="9"/>
        <v>1996.9</v>
      </c>
      <c r="D39" s="154">
        <f t="shared" si="9"/>
        <v>2108.2399999999998</v>
      </c>
      <c r="E39" s="154">
        <f t="shared" si="9"/>
        <v>2108.2399999999998</v>
      </c>
      <c r="F39" s="154">
        <f t="shared" si="9"/>
        <v>2160.94</v>
      </c>
      <c r="G39" s="154">
        <f t="shared" si="9"/>
        <v>2204.16</v>
      </c>
      <c r="H39" s="154">
        <f>H11</f>
        <v>2248.25</v>
      </c>
      <c r="I39" s="154" t="e">
        <f>I11</f>
        <v>#REF!</v>
      </c>
    </row>
    <row r="40" spans="1:10" s="310" customFormat="1">
      <c r="A40" s="340" t="s">
        <v>231</v>
      </c>
      <c r="B40" s="341">
        <v>1</v>
      </c>
      <c r="C40" s="342" t="e">
        <f>#REF!</f>
        <v>#REF!</v>
      </c>
      <c r="D40" s="342" t="e">
        <f>#REF!</f>
        <v>#REF!</v>
      </c>
      <c r="E40" s="342" t="e">
        <f>#REF!</f>
        <v>#REF!</v>
      </c>
      <c r="F40" s="342" t="e">
        <f>#REF!</f>
        <v>#REF!</v>
      </c>
      <c r="G40" s="342" t="e">
        <f>#REF!</f>
        <v>#REF!</v>
      </c>
      <c r="H40" s="342" t="e">
        <f>#REF!</f>
        <v>#REF!</v>
      </c>
      <c r="I40" s="342" t="e">
        <f>#REF!</f>
        <v>#REF!</v>
      </c>
      <c r="J40"/>
    </row>
    <row r="41" spans="1:10">
      <c r="A41" s="26" t="s">
        <v>209</v>
      </c>
      <c r="B41" s="160">
        <f>B12</f>
        <v>2</v>
      </c>
      <c r="C41" s="154">
        <f>C12</f>
        <v>3467.23</v>
      </c>
      <c r="D41" s="154">
        <f t="shared" ref="D41:H41" si="12">D12</f>
        <v>3753.62</v>
      </c>
      <c r="E41" s="154">
        <f t="shared" si="12"/>
        <v>3753.62</v>
      </c>
      <c r="F41" s="154">
        <f t="shared" si="12"/>
        <v>3847.46</v>
      </c>
      <c r="G41" s="154">
        <f t="shared" si="12"/>
        <v>3924.41</v>
      </c>
      <c r="H41" s="154">
        <f t="shared" si="12"/>
        <v>4002.89</v>
      </c>
      <c r="I41" s="154" t="e">
        <f t="shared" ref="I41" si="13">I12</f>
        <v>#REF!</v>
      </c>
    </row>
    <row r="42" spans="1:10">
      <c r="A42" s="26" t="s">
        <v>210</v>
      </c>
      <c r="B42" s="160">
        <f>B13</f>
        <v>1</v>
      </c>
      <c r="C42" s="154">
        <f>C13</f>
        <v>1996.9</v>
      </c>
      <c r="D42" s="154">
        <f t="shared" ref="D42:H42" si="14">D13</f>
        <v>2108.2399999999998</v>
      </c>
      <c r="E42" s="154">
        <f t="shared" si="14"/>
        <v>2108.2399999999998</v>
      </c>
      <c r="F42" s="154">
        <f t="shared" si="14"/>
        <v>2160.94</v>
      </c>
      <c r="G42" s="154">
        <f t="shared" si="14"/>
        <v>2204.16</v>
      </c>
      <c r="H42" s="154">
        <f t="shared" si="14"/>
        <v>2248.25</v>
      </c>
      <c r="I42" s="154" t="e">
        <f t="shared" ref="I42" si="15">I13</f>
        <v>#REF!</v>
      </c>
    </row>
    <row r="43" spans="1:10">
      <c r="C43" s="154"/>
      <c r="D43" s="154"/>
      <c r="E43" s="154"/>
      <c r="F43" s="154"/>
      <c r="G43" s="154"/>
      <c r="H43" s="154"/>
      <c r="I43" s="154"/>
    </row>
    <row r="44" spans="1:10">
      <c r="A44" t="s">
        <v>211</v>
      </c>
      <c r="C44" s="154" t="e">
        <f>ROUND(($C$33+$C$34+SUM($C$37:$C$42))*'Estimacio index increm salarial'!$G$7,2)</f>
        <v>#REF!</v>
      </c>
      <c r="D44" s="154" t="e">
        <f>ROUND(($D$33+$D$34+SUM($D$37:$D$42))*'Estimacio index increm salarial'!$G$8,2)</f>
        <v>#REF!</v>
      </c>
      <c r="E44" s="154" t="e">
        <f>ROUND(($E$33+$E$34+SUM($E$37:$E$42))*'Estimacio index increm salarial'!$G$9,2)</f>
        <v>#REF!</v>
      </c>
      <c r="F44" s="154" t="e">
        <f>ROUND(($F$33+$F$34+SUM($F$37:$F$42))*'Estimacio index increm salarial'!$G$10,2)</f>
        <v>#REF!</v>
      </c>
      <c r="G44" s="154" t="e">
        <f>ROUND(($G$33+$G$34+SUM($G$37:$G$42))*'Estimacio index increm salarial'!$G$11,2)</f>
        <v>#REF!</v>
      </c>
      <c r="H44" s="154" t="e">
        <f>ROUND(($H$33+$H$34+SUM($H$37:$H$42))*'Estimacio index increm salarial'!$G$12,2)</f>
        <v>#REF!</v>
      </c>
      <c r="I44" s="154" t="e">
        <f>ROUND(($I$33+$I$34+SUM($I$37:$I$42))*'Estimacio index increm salarial'!$G$13,2)</f>
        <v>#REF!</v>
      </c>
    </row>
    <row r="45" spans="1:10">
      <c r="C45" s="154"/>
      <c r="D45" s="154"/>
      <c r="E45" s="154"/>
      <c r="F45" s="154"/>
      <c r="G45" s="154"/>
      <c r="H45" s="154"/>
      <c r="I45" s="154"/>
    </row>
    <row r="46" spans="1:10">
      <c r="A46" s="32" t="s">
        <v>77</v>
      </c>
      <c r="B46" s="161">
        <f>SUM(B33:B44)</f>
        <v>29</v>
      </c>
      <c r="C46" s="155" t="e">
        <f>C33+C34+SUM(C37:C42)+SUM(C44:C44)</f>
        <v>#REF!</v>
      </c>
      <c r="D46" s="155" t="e">
        <f t="shared" ref="D46:G46" si="16">D33+D34+SUM(D37:D42)+SUM(D44:D44)</f>
        <v>#REF!</v>
      </c>
      <c r="E46" s="155" t="e">
        <f t="shared" si="16"/>
        <v>#REF!</v>
      </c>
      <c r="F46" s="155" t="e">
        <f t="shared" si="16"/>
        <v>#REF!</v>
      </c>
      <c r="G46" s="155" t="e">
        <f t="shared" si="16"/>
        <v>#REF!</v>
      </c>
      <c r="H46" s="155" t="e">
        <f>H33+H34+SUM(H37:H42)+SUM(H44:H44)</f>
        <v>#REF!</v>
      </c>
      <c r="I46" s="155" t="e">
        <f>I33+I34+SUM(I37:I42)+SUM(I44:I44)</f>
        <v>#REF!</v>
      </c>
    </row>
    <row r="47" spans="1:10">
      <c r="C47" s="164"/>
      <c r="D47" s="164"/>
      <c r="E47" s="164"/>
      <c r="F47" s="164"/>
      <c r="G47" s="164"/>
      <c r="H47" s="164"/>
      <c r="I47" s="164"/>
    </row>
    <row r="48" spans="1:10">
      <c r="A48" s="8" t="s">
        <v>75</v>
      </c>
      <c r="B48" s="162"/>
      <c r="C48" s="164"/>
      <c r="D48" s="164"/>
      <c r="E48" s="164"/>
      <c r="F48" s="164"/>
      <c r="G48" s="164"/>
      <c r="H48" s="164"/>
      <c r="I48" s="164"/>
    </row>
    <row r="49" spans="1:9">
      <c r="A49" s="26" t="s">
        <v>215</v>
      </c>
      <c r="B49" s="160">
        <f>B20</f>
        <v>2</v>
      </c>
      <c r="C49" s="154">
        <f>C20</f>
        <v>0</v>
      </c>
      <c r="D49" s="154">
        <f t="shared" ref="D49:G49" si="17">D20</f>
        <v>0</v>
      </c>
      <c r="E49" s="154">
        <f t="shared" si="17"/>
        <v>0</v>
      </c>
      <c r="F49" s="154">
        <f t="shared" si="17"/>
        <v>0</v>
      </c>
      <c r="G49" s="154">
        <f t="shared" si="17"/>
        <v>0</v>
      </c>
      <c r="H49" s="154">
        <f>H20</f>
        <v>0</v>
      </c>
      <c r="I49" s="154">
        <f>I20</f>
        <v>0</v>
      </c>
    </row>
    <row r="50" spans="1:9">
      <c r="A50" s="26" t="s">
        <v>216</v>
      </c>
      <c r="B50" s="160">
        <f t="shared" ref="B50:C51" si="18">B21</f>
        <v>2</v>
      </c>
      <c r="C50" s="154">
        <f t="shared" si="18"/>
        <v>0</v>
      </c>
      <c r="D50" s="154">
        <f t="shared" ref="D50:H50" si="19">D21</f>
        <v>0</v>
      </c>
      <c r="E50" s="154">
        <f t="shared" si="19"/>
        <v>0</v>
      </c>
      <c r="F50" s="154">
        <f t="shared" si="19"/>
        <v>0</v>
      </c>
      <c r="G50" s="154">
        <f t="shared" si="19"/>
        <v>0</v>
      </c>
      <c r="H50" s="154">
        <f t="shared" si="19"/>
        <v>0</v>
      </c>
      <c r="I50" s="154">
        <f t="shared" ref="I50" si="20">I21</f>
        <v>0</v>
      </c>
    </row>
    <row r="51" spans="1:9">
      <c r="A51" s="26" t="s">
        <v>217</v>
      </c>
      <c r="B51" s="160">
        <f t="shared" si="18"/>
        <v>2</v>
      </c>
      <c r="C51" s="154">
        <f t="shared" si="18"/>
        <v>0</v>
      </c>
      <c r="D51" s="154">
        <f t="shared" ref="D51:H51" si="21">D22</f>
        <v>0</v>
      </c>
      <c r="E51" s="154">
        <f t="shared" si="21"/>
        <v>0</v>
      </c>
      <c r="F51" s="154">
        <f t="shared" si="21"/>
        <v>0</v>
      </c>
      <c r="G51" s="154">
        <f t="shared" si="21"/>
        <v>0</v>
      </c>
      <c r="H51" s="154">
        <f t="shared" si="21"/>
        <v>0</v>
      </c>
      <c r="I51" s="154">
        <f t="shared" ref="I51" si="22">I22</f>
        <v>0</v>
      </c>
    </row>
    <row r="52" spans="1:9">
      <c r="C52" s="154"/>
      <c r="D52" s="154"/>
      <c r="E52" s="154"/>
      <c r="F52" s="154"/>
      <c r="G52" s="154"/>
      <c r="H52" s="154"/>
      <c r="I52" s="154"/>
    </row>
    <row r="53" spans="1:9">
      <c r="A53" t="s">
        <v>211</v>
      </c>
      <c r="C53" s="154">
        <f>ROUND((SUM($C$49:$C$51))*'Estimacio index increm salarial'!$G$7,2)</f>
        <v>0</v>
      </c>
      <c r="D53" s="154">
        <f>ROUND((SUM($D$49:$D$51))*'Estimacio index increm salarial'!$G$8,2)</f>
        <v>0</v>
      </c>
      <c r="E53" s="154">
        <f>ROUND((SUM($E$49:$E$51))*'Estimacio index increm salarial'!$G$9,2)</f>
        <v>0</v>
      </c>
      <c r="F53" s="154">
        <f>ROUND((SUM($F$49:$F$51))*'Estimacio index increm salarial'!$G$10,2)</f>
        <v>0</v>
      </c>
      <c r="G53" s="154">
        <f>ROUND((SUM($G$49:$G$51))*'Estimacio index increm salarial'!$G$11,2)</f>
        <v>0</v>
      </c>
      <c r="H53" s="154">
        <f>ROUND((SUM($H$49:$H$51))*'Estimacio index increm salarial'!$G$12,2)</f>
        <v>0</v>
      </c>
      <c r="I53" s="154">
        <f>ROUND((SUM($H$49:$H$51))*'Estimacio index increm salarial'!$G$12,2)</f>
        <v>0</v>
      </c>
    </row>
    <row r="54" spans="1:9">
      <c r="C54" s="164"/>
      <c r="D54" s="164"/>
      <c r="E54" s="164"/>
      <c r="F54" s="164"/>
      <c r="G54" s="164"/>
      <c r="H54" s="164"/>
      <c r="I54" s="164"/>
    </row>
    <row r="55" spans="1:9">
      <c r="A55" s="32" t="s">
        <v>76</v>
      </c>
      <c r="B55" s="161">
        <f>SUM(B49:B53)</f>
        <v>6</v>
      </c>
      <c r="C55" s="155">
        <f t="shared" ref="C55:H55" si="23">SUM(C49:C51)+SUM(C53:C53)</f>
        <v>0</v>
      </c>
      <c r="D55" s="155">
        <f t="shared" si="23"/>
        <v>0</v>
      </c>
      <c r="E55" s="155">
        <f t="shared" si="23"/>
        <v>0</v>
      </c>
      <c r="F55" s="155">
        <f t="shared" si="23"/>
        <v>0</v>
      </c>
      <c r="G55" s="155">
        <f t="shared" si="23"/>
        <v>0</v>
      </c>
      <c r="H55" s="155">
        <f t="shared" si="23"/>
        <v>0</v>
      </c>
      <c r="I55" s="155">
        <f>SUM(I49:I51)+SUM(I53:I53)</f>
        <v>0</v>
      </c>
    </row>
    <row r="56" spans="1:9" ht="15" thickBot="1">
      <c r="C56" s="154"/>
      <c r="D56" s="154"/>
      <c r="E56" s="154"/>
      <c r="F56" s="154"/>
      <c r="G56" s="154"/>
      <c r="H56" s="154"/>
      <c r="I56" s="154"/>
    </row>
    <row r="57" spans="1:9" ht="15" thickBot="1">
      <c r="A57" s="31" t="s">
        <v>82</v>
      </c>
      <c r="B57" s="163">
        <f>B46+B55</f>
        <v>35</v>
      </c>
      <c r="C57" s="156" t="e">
        <f>C46+C55</f>
        <v>#REF!</v>
      </c>
      <c r="D57" s="156" t="e">
        <f t="shared" ref="D57:G57" si="24">D46+D55</f>
        <v>#REF!</v>
      </c>
      <c r="E57" s="156" t="e">
        <f>E46+E55</f>
        <v>#REF!</v>
      </c>
      <c r="F57" s="156" t="e">
        <f t="shared" si="24"/>
        <v>#REF!</v>
      </c>
      <c r="G57" s="156" t="e">
        <f t="shared" si="24"/>
        <v>#REF!</v>
      </c>
      <c r="H57" s="156" t="e">
        <f>H46+H55</f>
        <v>#REF!</v>
      </c>
      <c r="I57" s="156" t="e">
        <f>I46+I55</f>
        <v>#REF!</v>
      </c>
    </row>
    <row r="58" spans="1:9">
      <c r="B58"/>
    </row>
  </sheetData>
  <pageMargins left="0.7" right="0.7" top="0.75" bottom="0.75" header="0.3" footer="0.3"/>
  <pageSetup paperSize="9" orientation="portrait" verticalDpi="0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16</vt:i4>
      </vt:variant>
    </vt:vector>
  </HeadingPairs>
  <TitlesOfParts>
    <vt:vector size="16" baseType="lpstr">
      <vt:lpstr>Original subrogació 2022</vt:lpstr>
      <vt:lpstr>Despeses Personal</vt:lpstr>
      <vt:lpstr>Categ profes</vt:lpstr>
      <vt:lpstr>Nou full subrogacio 2023</vt:lpstr>
      <vt:lpstr>Despeses Personal 2023</vt:lpstr>
      <vt:lpstr>Estimacio index increm salarial</vt:lpstr>
      <vt:lpstr>Estimacio increment IPC</vt:lpstr>
      <vt:lpstr>Estimacions apats i usuaris</vt:lpstr>
      <vt:lpstr>Gratificacio bonus</vt:lpstr>
      <vt:lpstr>PROPOSTA2022</vt:lpstr>
      <vt:lpstr>PROPOSTA2023</vt:lpstr>
      <vt:lpstr>PROPOSTA2024</vt:lpstr>
      <vt:lpstr>PROPOSTA2025</vt:lpstr>
      <vt:lpstr>PROPOSTA2026</vt:lpstr>
      <vt:lpstr>PROPOSTA2027</vt:lpstr>
      <vt:lpstr>Annex 4 Bis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Oceja Fernandez</dc:creator>
  <cp:lastModifiedBy>Ajuntament de Barcelona</cp:lastModifiedBy>
  <cp:lastPrinted>2024-01-04T12:45:16Z</cp:lastPrinted>
  <dcterms:created xsi:type="dcterms:W3CDTF">2022-02-19T17:25:59Z</dcterms:created>
  <dcterms:modified xsi:type="dcterms:W3CDTF">2024-09-12T09:16:44Z</dcterms:modified>
</cp:coreProperties>
</file>