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G:\areas\MEDIAMBIENT\20- SANEJAMENT\01 CONTRACTES EXPLOTACIÓ\01 Concursos sanejament\03 CONCURS 25\00 Dades de treball\05 Dimensionat servei i pressupost\Pressupost bo\"/>
    </mc:Choice>
  </mc:AlternateContent>
  <xr:revisionPtr revIDLastSave="0" documentId="13_ncr:1_{C38524BD-DFE4-4AF1-816C-4F4568EEE257}" xr6:coauthVersionLast="47" xr6:coauthVersionMax="47" xr10:uidLastSave="{00000000-0000-0000-0000-000000000000}"/>
  <bookViews>
    <workbookView xWindow="28680" yWindow="-150" windowWidth="20730" windowHeight="11160" tabRatio="810" xr2:uid="{00000000-000D-0000-FFFF-FFFF00000000}"/>
  </bookViews>
  <sheets>
    <sheet name="Pressupost base licitació" sheetId="59" r:id="rId1"/>
    <sheet name="DD alta" sheetId="48" r:id="rId2"/>
    <sheet name="Personal general" sheetId="50" r:id="rId3"/>
    <sheet name="Mitjanes cabals" sheetId="52" r:id="rId4"/>
    <sheet name="Fangs i reactius" sheetId="58" r:id="rId5"/>
    <sheet name="Energia" sheetId="61" r:id="rId6"/>
    <sheet name="Costos materials" sheetId="62" r:id="rId7"/>
    <sheet name="Altres conceptes" sheetId="63" r:id="rId8"/>
    <sheet name="Actuacions necessàries" sheetId="64" r:id="rId9"/>
    <sheet name="Sistemes" sheetId="35" r:id="rId10"/>
  </sheets>
  <definedNames>
    <definedName name="_Toc330471287" localSheetId="0">'Pressupost base licitació'!$B$5</definedName>
  </definedNames>
  <calcPr calcId="191029"/>
</workbook>
</file>

<file path=xl/calcChain.xml><?xml version="1.0" encoding="utf-8"?>
<calcChain xmlns="http://schemas.openxmlformats.org/spreadsheetml/2006/main">
  <c r="N8" i="48" l="1"/>
  <c r="L13" i="48"/>
  <c r="L8" i="48"/>
  <c r="G6" i="59" l="1"/>
  <c r="E8" i="59" l="1"/>
  <c r="C8" i="59"/>
  <c r="E6" i="59"/>
  <c r="F16" i="50" l="1"/>
  <c r="E7" i="59" l="1"/>
  <c r="G7" i="59" s="1"/>
  <c r="O13" i="61"/>
  <c r="O12" i="61"/>
  <c r="O11" i="61"/>
  <c r="O10" i="61"/>
  <c r="O9" i="61"/>
  <c r="O8" i="61"/>
  <c r="O7" i="61"/>
  <c r="O6" i="61"/>
  <c r="O5" i="61"/>
  <c r="O4" i="61"/>
  <c r="G6" i="52" l="1"/>
  <c r="C10" i="35" s="1"/>
  <c r="K22" i="48"/>
  <c r="O20" i="50" l="1"/>
  <c r="H11" i="63"/>
  <c r="I11" i="63"/>
  <c r="J11" i="63"/>
  <c r="K11" i="63"/>
  <c r="L11" i="63"/>
  <c r="M11" i="63"/>
  <c r="N11" i="63"/>
  <c r="G11" i="63"/>
  <c r="H7" i="52"/>
  <c r="H8" i="52"/>
  <c r="H9" i="52"/>
  <c r="H10" i="52"/>
  <c r="H11" i="52"/>
  <c r="H12" i="52"/>
  <c r="H13" i="52"/>
  <c r="H6" i="52"/>
  <c r="G7" i="52"/>
  <c r="C11" i="35" s="1"/>
  <c r="G8" i="52"/>
  <c r="C12" i="35" s="1"/>
  <c r="G9" i="52"/>
  <c r="C13" i="35" s="1"/>
  <c r="G10" i="52"/>
  <c r="C14" i="35" s="1"/>
  <c r="G11" i="52"/>
  <c r="C15" i="35" s="1"/>
  <c r="G12" i="52"/>
  <c r="C16" i="35" s="1"/>
  <c r="G13" i="52"/>
  <c r="C17" i="35" s="1"/>
  <c r="C15" i="52"/>
  <c r="K23" i="48"/>
  <c r="K24" i="48"/>
  <c r="K25" i="48"/>
  <c r="I7" i="52"/>
  <c r="I8" i="52"/>
  <c r="I9" i="52"/>
  <c r="I10" i="52"/>
  <c r="I11" i="52"/>
  <c r="I12" i="52"/>
  <c r="I13" i="52"/>
  <c r="I6" i="52"/>
  <c r="K26" i="48" l="1"/>
  <c r="E15" i="52"/>
  <c r="H5" i="64" l="1"/>
  <c r="H6" i="64"/>
  <c r="H7" i="64"/>
  <c r="H8" i="64"/>
  <c r="H9" i="64"/>
  <c r="H4" i="64"/>
  <c r="E4" i="64"/>
  <c r="E5" i="64"/>
  <c r="E6" i="64"/>
  <c r="E7" i="64"/>
  <c r="E8" i="64"/>
  <c r="E9" i="64"/>
  <c r="E3" i="64"/>
  <c r="H3" i="64"/>
  <c r="E11" i="64" l="1"/>
  <c r="J11" i="64"/>
  <c r="C16" i="64" s="1"/>
  <c r="J11" i="35" s="1"/>
  <c r="K11" i="64"/>
  <c r="L11" i="64"/>
  <c r="C17" i="64" s="1"/>
  <c r="J12" i="35" s="1"/>
  <c r="M11" i="64"/>
  <c r="C18" i="64" s="1"/>
  <c r="J13" i="35" s="1"/>
  <c r="N11" i="64"/>
  <c r="C20" i="64" s="1"/>
  <c r="J15" i="35" s="1"/>
  <c r="O11" i="64"/>
  <c r="C19" i="64" s="1"/>
  <c r="J14" i="35" s="1"/>
  <c r="P11" i="64"/>
  <c r="C22" i="64" s="1"/>
  <c r="J17" i="35" s="1"/>
  <c r="I11" i="64"/>
  <c r="C21" i="64"/>
  <c r="J16" i="35" s="1"/>
  <c r="C17" i="63"/>
  <c r="C22" i="63"/>
  <c r="C11" i="63"/>
  <c r="F5" i="63"/>
  <c r="F6" i="63"/>
  <c r="F7" i="63"/>
  <c r="F8" i="63"/>
  <c r="F4" i="63"/>
  <c r="D5" i="35"/>
  <c r="D4" i="35"/>
  <c r="D3" i="35"/>
  <c r="D58" i="50"/>
  <c r="C58" i="50"/>
  <c r="C15" i="64" l="1"/>
  <c r="J10" i="35" s="1"/>
  <c r="K16" i="35"/>
  <c r="C20" i="63"/>
  <c r="K14" i="35" s="1"/>
  <c r="C23" i="63"/>
  <c r="K17" i="35" s="1"/>
  <c r="C21" i="63"/>
  <c r="K15" i="35" s="1"/>
  <c r="C18" i="63"/>
  <c r="K12" i="35" s="1"/>
  <c r="C19" i="63"/>
  <c r="K13" i="35" s="1"/>
  <c r="E52" i="50"/>
  <c r="K15" i="50" s="1"/>
  <c r="K20" i="50" s="1"/>
  <c r="E55" i="50"/>
  <c r="N15" i="50" s="1"/>
  <c r="E54" i="50"/>
  <c r="M15" i="50" s="1"/>
  <c r="M20" i="50" s="1"/>
  <c r="E53" i="50"/>
  <c r="L15" i="50" s="1"/>
  <c r="L20" i="50" s="1"/>
  <c r="E56" i="50"/>
  <c r="P15" i="50" s="1"/>
  <c r="P20" i="50" s="1"/>
  <c r="E51" i="50"/>
  <c r="J15" i="50" s="1"/>
  <c r="J20" i="50" s="1"/>
  <c r="E57" i="50"/>
  <c r="Q15" i="50" s="1"/>
  <c r="Q20" i="50" s="1"/>
  <c r="C23" i="64" l="1"/>
  <c r="C25" i="64" s="1"/>
  <c r="N18" i="50"/>
  <c r="N20" i="50"/>
  <c r="J25" i="50" s="1"/>
  <c r="K11" i="35"/>
  <c r="C16" i="63"/>
  <c r="K10" i="35" s="1"/>
  <c r="E58" i="50"/>
  <c r="R20" i="50" l="1"/>
  <c r="J26" i="50"/>
  <c r="C24" i="63"/>
  <c r="J27" i="50" l="1"/>
  <c r="J28" i="50" s="1"/>
  <c r="C23" i="50"/>
  <c r="J19" i="35"/>
  <c r="K19" i="35"/>
  <c r="K7" i="52"/>
  <c r="K8" i="52"/>
  <c r="K9" i="52"/>
  <c r="K10" i="52"/>
  <c r="K11" i="52"/>
  <c r="K12" i="52"/>
  <c r="K13" i="52"/>
  <c r="J6" i="52"/>
  <c r="K6" i="52"/>
  <c r="L6" i="52" l="1"/>
  <c r="J29" i="50"/>
  <c r="J31" i="50" s="1"/>
  <c r="D15" i="52" l="1"/>
  <c r="F15" i="52"/>
  <c r="G25" i="50" l="1"/>
  <c r="G26" i="50" s="1"/>
  <c r="G27" i="50" s="1"/>
  <c r="H25" i="50"/>
  <c r="H26" i="50" s="1"/>
  <c r="H27" i="50" s="1"/>
  <c r="I25" i="50"/>
  <c r="I26" i="50" s="1"/>
  <c r="I27" i="50" s="1"/>
  <c r="K25" i="50"/>
  <c r="K26" i="50" s="1"/>
  <c r="K27" i="50" s="1"/>
  <c r="L25" i="50"/>
  <c r="L26" i="50" s="1"/>
  <c r="L27" i="50" s="1"/>
  <c r="M25" i="50"/>
  <c r="M26" i="50" s="1"/>
  <c r="M27" i="50" s="1"/>
  <c r="F25" i="50"/>
  <c r="F26" i="50" s="1"/>
  <c r="K18" i="50"/>
  <c r="L18" i="50"/>
  <c r="M18" i="50"/>
  <c r="O18" i="50"/>
  <c r="P18" i="50"/>
  <c r="Q18" i="50"/>
  <c r="J18" i="50"/>
  <c r="I15" i="50"/>
  <c r="F18" i="50"/>
  <c r="D18" i="50"/>
  <c r="F27" i="50" l="1"/>
  <c r="F28" i="50" s="1"/>
  <c r="F29" i="50" s="1"/>
  <c r="N15" i="61"/>
  <c r="I9" i="58"/>
  <c r="I10" i="58"/>
  <c r="I11" i="58"/>
  <c r="I12" i="58"/>
  <c r="I8" i="58"/>
  <c r="H9" i="58"/>
  <c r="H10" i="58"/>
  <c r="H11" i="58"/>
  <c r="H12" i="58"/>
  <c r="H8" i="58"/>
  <c r="G14" i="58"/>
  <c r="G15" i="58"/>
  <c r="G13" i="58"/>
  <c r="G9" i="58"/>
  <c r="G10" i="58"/>
  <c r="G11" i="58"/>
  <c r="G12" i="58"/>
  <c r="G8" i="58"/>
  <c r="J7" i="52"/>
  <c r="L7" i="52" s="1"/>
  <c r="J8" i="52"/>
  <c r="L8" i="52" s="1"/>
  <c r="J9" i="52"/>
  <c r="L9" i="52" s="1"/>
  <c r="J10" i="52"/>
  <c r="L10" i="52" s="1"/>
  <c r="J11" i="52"/>
  <c r="L11" i="52" s="1"/>
  <c r="J12" i="52"/>
  <c r="L12" i="52" s="1"/>
  <c r="J13" i="52"/>
  <c r="L13" i="52" s="1"/>
  <c r="F8" i="48"/>
  <c r="F9" i="48"/>
  <c r="H26" i="48"/>
  <c r="F10" i="48" l="1"/>
  <c r="F7" i="48"/>
  <c r="F12" i="48"/>
  <c r="F6" i="48"/>
  <c r="F11" i="48"/>
  <c r="H17" i="58"/>
  <c r="I17" i="58"/>
  <c r="G17" i="58"/>
  <c r="F5" i="48" l="1"/>
  <c r="G13" i="62" l="1"/>
  <c r="F13" i="62"/>
  <c r="E13" i="62"/>
  <c r="D13" i="62"/>
  <c r="C13" i="62"/>
  <c r="F17" i="58" l="1"/>
  <c r="E17" i="58"/>
  <c r="D17" i="58"/>
  <c r="C17" i="58"/>
  <c r="C24" i="61"/>
  <c r="E15" i="35" s="1"/>
  <c r="C23" i="61"/>
  <c r="E14" i="35" s="1"/>
  <c r="C26" i="61"/>
  <c r="E17" i="35" s="1"/>
  <c r="C22" i="61"/>
  <c r="E13" i="35" s="1"/>
  <c r="C21" i="61"/>
  <c r="E12" i="35" s="1"/>
  <c r="C25" i="61"/>
  <c r="E16" i="35" s="1"/>
  <c r="C20" i="61"/>
  <c r="E11" i="35" s="1"/>
  <c r="C19" i="61"/>
  <c r="E10" i="35" s="1"/>
  <c r="E19" i="35" l="1"/>
  <c r="H13" i="35"/>
  <c r="F14" i="35"/>
  <c r="O11" i="35"/>
  <c r="O13" i="35"/>
  <c r="P10" i="35"/>
  <c r="I13" i="35"/>
  <c r="F15" i="35"/>
  <c r="P11" i="35"/>
  <c r="P13" i="35"/>
  <c r="O10" i="35"/>
  <c r="G14" i="35"/>
  <c r="F16" i="35"/>
  <c r="O14" i="35"/>
  <c r="H14" i="35"/>
  <c r="F17" i="35"/>
  <c r="H10" i="35"/>
  <c r="H15" i="35"/>
  <c r="O16" i="35"/>
  <c r="F10" i="35"/>
  <c r="P14" i="35"/>
  <c r="I14" i="35"/>
  <c r="I10" i="35"/>
  <c r="P15" i="35"/>
  <c r="G10" i="35"/>
  <c r="G11" i="35"/>
  <c r="I15" i="35"/>
  <c r="F11" i="35"/>
  <c r="O15" i="35"/>
  <c r="G15" i="35"/>
  <c r="P16" i="35"/>
  <c r="H11" i="35"/>
  <c r="G16" i="35"/>
  <c r="O17" i="35"/>
  <c r="I11" i="35"/>
  <c r="G12" i="35"/>
  <c r="H16" i="35"/>
  <c r="I17" i="35"/>
  <c r="P12" i="35"/>
  <c r="P17" i="35"/>
  <c r="H12" i="35"/>
  <c r="I16" i="35"/>
  <c r="I12" i="35"/>
  <c r="G17" i="35"/>
  <c r="F13" i="35"/>
  <c r="H17" i="35"/>
  <c r="O12" i="35"/>
  <c r="F12" i="35"/>
  <c r="G13" i="35"/>
  <c r="Q10" i="35"/>
  <c r="Q11" i="35"/>
  <c r="Q12" i="35"/>
  <c r="Q13" i="35"/>
  <c r="Q14" i="35"/>
  <c r="Q15" i="35"/>
  <c r="Q16" i="35"/>
  <c r="Q17" i="35"/>
  <c r="C28" i="61"/>
  <c r="P19" i="35" l="1"/>
  <c r="H19" i="35"/>
  <c r="G19" i="35"/>
  <c r="I19" i="35"/>
  <c r="O19" i="35"/>
  <c r="F19" i="35"/>
  <c r="Q19" i="35"/>
  <c r="K7" i="61" l="1"/>
  <c r="L7" i="61" s="1"/>
  <c r="D25" i="61"/>
  <c r="N16" i="35" s="1"/>
  <c r="K8" i="61"/>
  <c r="L8" i="61" s="1"/>
  <c r="K12" i="61"/>
  <c r="L12" i="61" s="1"/>
  <c r="D23" i="61"/>
  <c r="N14" i="35" s="1"/>
  <c r="K13" i="61"/>
  <c r="L13" i="61" s="1"/>
  <c r="D26" i="61"/>
  <c r="N17" i="35" s="1"/>
  <c r="K4" i="61"/>
  <c r="L4" i="61" s="1"/>
  <c r="K9" i="61"/>
  <c r="L9" i="61" s="1"/>
  <c r="K5" i="61"/>
  <c r="L5" i="61" s="1"/>
  <c r="K6" i="61"/>
  <c r="L6" i="61" s="1"/>
  <c r="K10" i="61"/>
  <c r="L10" i="61" s="1"/>
  <c r="D22" i="61"/>
  <c r="N13" i="35" s="1"/>
  <c r="K11" i="61"/>
  <c r="L11" i="61" s="1"/>
  <c r="D24" i="61"/>
  <c r="N15" i="35" s="1"/>
  <c r="R17" i="35" l="1"/>
  <c r="S17" i="35" s="1"/>
  <c r="E12" i="48" s="1"/>
  <c r="G12" i="48" s="1"/>
  <c r="M12" i="48" s="1"/>
  <c r="R14" i="35"/>
  <c r="S14" i="35" s="1"/>
  <c r="E9" i="48" s="1"/>
  <c r="G9" i="48" s="1"/>
  <c r="M9" i="48" s="1"/>
  <c r="R13" i="35"/>
  <c r="S13" i="35" s="1"/>
  <c r="E8" i="48" s="1"/>
  <c r="G8" i="48" s="1"/>
  <c r="M8" i="48" s="1"/>
  <c r="R15" i="35"/>
  <c r="S15" i="35" s="1"/>
  <c r="E10" i="48" s="1"/>
  <c r="G10" i="48" s="1"/>
  <c r="M10" i="48" s="1"/>
  <c r="R16" i="35"/>
  <c r="S16" i="35" s="1"/>
  <c r="E11" i="48" s="1"/>
  <c r="G11" i="48" s="1"/>
  <c r="D20" i="61"/>
  <c r="N11" i="35" s="1"/>
  <c r="D21" i="61"/>
  <c r="N12" i="35" s="1"/>
  <c r="O15" i="61"/>
  <c r="D19" i="61"/>
  <c r="M11" i="48" l="1"/>
  <c r="R12" i="35"/>
  <c r="S12" i="35" s="1"/>
  <c r="E7" i="48" s="1"/>
  <c r="G7" i="48" s="1"/>
  <c r="M7" i="48" s="1"/>
  <c r="R11" i="35"/>
  <c r="S11" i="35" s="1"/>
  <c r="E6" i="48" s="1"/>
  <c r="G6" i="48" s="1"/>
  <c r="M6" i="48" s="1"/>
  <c r="N10" i="35"/>
  <c r="D28" i="61"/>
  <c r="I4" i="50"/>
  <c r="I5" i="50"/>
  <c r="I6" i="50"/>
  <c r="I7" i="50"/>
  <c r="I8" i="50"/>
  <c r="I9" i="50"/>
  <c r="I10" i="50"/>
  <c r="I11" i="50"/>
  <c r="I14" i="50"/>
  <c r="I16" i="50"/>
  <c r="R10" i="35" l="1"/>
  <c r="N19" i="35"/>
  <c r="I12" i="50"/>
  <c r="I13" i="50"/>
  <c r="S10" i="35" l="1"/>
  <c r="E5" i="48" s="1"/>
  <c r="G5" i="48" s="1"/>
  <c r="R19" i="35"/>
  <c r="G28" i="50"/>
  <c r="G29" i="50" s="1"/>
  <c r="M28" i="50"/>
  <c r="M29" i="50" s="1"/>
  <c r="K28" i="50"/>
  <c r="K29" i="50" s="1"/>
  <c r="L28" i="50"/>
  <c r="L29" i="50" s="1"/>
  <c r="I28" i="50"/>
  <c r="I29" i="50" s="1"/>
  <c r="R18" i="50"/>
  <c r="M5" i="48" l="1"/>
  <c r="M31" i="50"/>
  <c r="C43" i="50" s="1"/>
  <c r="D17" i="35" s="1"/>
  <c r="F31" i="50"/>
  <c r="L31" i="50"/>
  <c r="C40" i="50" s="1"/>
  <c r="D14" i="35" s="1"/>
  <c r="G31" i="50"/>
  <c r="C37" i="50" s="1"/>
  <c r="D11" i="35" s="1"/>
  <c r="K31" i="50"/>
  <c r="C41" i="50" s="1"/>
  <c r="D15" i="35" s="1"/>
  <c r="I31" i="50"/>
  <c r="C38" i="50" s="1"/>
  <c r="D12" i="35" s="1"/>
  <c r="L12" i="35" s="1"/>
  <c r="H28" i="50"/>
  <c r="H29" i="50" s="1"/>
  <c r="M13" i="48" l="1"/>
  <c r="C36" i="50"/>
  <c r="D10" i="35" s="1"/>
  <c r="L10" i="35" s="1"/>
  <c r="L11" i="35"/>
  <c r="L15" i="35"/>
  <c r="L14" i="35"/>
  <c r="L17" i="35"/>
  <c r="H31" i="50"/>
  <c r="C42" i="50" s="1"/>
  <c r="D16" i="35" s="1"/>
  <c r="M12" i="35"/>
  <c r="C7" i="48" s="1"/>
  <c r="C39" i="50"/>
  <c r="D13" i="35" s="1"/>
  <c r="L13" i="35" s="1"/>
  <c r="M15" i="35" l="1"/>
  <c r="C10" i="48" s="1"/>
  <c r="D10" i="48" s="1"/>
  <c r="M17" i="35"/>
  <c r="C12" i="48" s="1"/>
  <c r="D12" i="48" s="1"/>
  <c r="M14" i="35"/>
  <c r="C9" i="48" s="1"/>
  <c r="D9" i="48" s="1"/>
  <c r="M11" i="35"/>
  <c r="C6" i="48" s="1"/>
  <c r="D6" i="48" s="1"/>
  <c r="D19" i="35"/>
  <c r="L16" i="35"/>
  <c r="D7" i="48"/>
  <c r="M13" i="35"/>
  <c r="C8" i="48" s="1"/>
  <c r="H7" i="48" l="1"/>
  <c r="L7" i="48"/>
  <c r="N7" i="48" s="1"/>
  <c r="H6" i="48"/>
  <c r="L6" i="48"/>
  <c r="N6" i="48" s="1"/>
  <c r="H12" i="48"/>
  <c r="L12" i="48"/>
  <c r="N12" i="48" s="1"/>
  <c r="H9" i="48"/>
  <c r="L9" i="48"/>
  <c r="N9" i="48" s="1"/>
  <c r="H10" i="48"/>
  <c r="L10" i="48"/>
  <c r="N10" i="48" s="1"/>
  <c r="M16" i="35"/>
  <c r="C11" i="48" s="1"/>
  <c r="D11" i="48" s="1"/>
  <c r="D8" i="48"/>
  <c r="N31" i="50"/>
  <c r="M10" i="35"/>
  <c r="C5" i="48" s="1"/>
  <c r="H8" i="48" l="1"/>
  <c r="H11" i="48"/>
  <c r="L11" i="48"/>
  <c r="N11" i="48" s="1"/>
  <c r="D5" i="48"/>
  <c r="C45" i="50"/>
  <c r="L5" i="48" l="1"/>
  <c r="H5" i="48"/>
  <c r="L19" i="35"/>
  <c r="N5" i="48" l="1"/>
  <c r="N13" i="48" s="1"/>
  <c r="M19" i="35"/>
  <c r="H13" i="48" l="1"/>
  <c r="H15" i="48" s="1"/>
  <c r="H17" i="48" l="1"/>
  <c r="C6" i="59" l="1"/>
  <c r="C9" i="59" s="1"/>
</calcChain>
</file>

<file path=xl/sharedStrings.xml><?xml version="1.0" encoding="utf-8"?>
<sst xmlns="http://schemas.openxmlformats.org/spreadsheetml/2006/main" count="371" uniqueCount="226">
  <si>
    <t>CALDES DE MALAVELLA</t>
  </si>
  <si>
    <t>RIUDARENES</t>
  </si>
  <si>
    <t>VILOBÍ D'ONYAR</t>
  </si>
  <si>
    <t>EDAR</t>
  </si>
  <si>
    <t xml:space="preserve">Variable
€/període </t>
  </si>
  <si>
    <t>ANGLÈS-LA CELLERA</t>
  </si>
  <si>
    <t>RIUDELLOTS DE LA SELVA</t>
  </si>
  <si>
    <t>AIGUAVIVA PARC</t>
  </si>
  <si>
    <t xml:space="preserve">Fix
€/període </t>
  </si>
  <si>
    <t>Personal</t>
  </si>
  <si>
    <t>Manteniment EDAR</t>
  </si>
  <si>
    <t>Manteniment Col·lectors</t>
  </si>
  <si>
    <t>Productes, Materials i Serveis</t>
  </si>
  <si>
    <t>Despeses Administratives i Varis</t>
  </si>
  <si>
    <t>Productes químics</t>
  </si>
  <si>
    <t xml:space="preserve">Evacuació Residus </t>
  </si>
  <si>
    <t>Fangs</t>
  </si>
  <si>
    <t>Fix 
€/dia</t>
  </si>
  <si>
    <t>Funció</t>
  </si>
  <si>
    <t>Grup professional</t>
  </si>
  <si>
    <t>Número</t>
  </si>
  <si>
    <t>% Dedicació</t>
  </si>
  <si>
    <t xml:space="preserve">TOTAL </t>
  </si>
  <si>
    <t>Anglès</t>
  </si>
  <si>
    <t>Caldes</t>
  </si>
  <si>
    <t>Riudarenes</t>
  </si>
  <si>
    <t>Riudellots</t>
  </si>
  <si>
    <t>Vilobí</t>
  </si>
  <si>
    <t>Aiguaviva</t>
  </si>
  <si>
    <t>Montbarbat</t>
  </si>
  <si>
    <t>PANTANS MONTBARBAT</t>
  </si>
  <si>
    <t>TERRAFORTUNA</t>
  </si>
  <si>
    <t>MITJANA</t>
  </si>
  <si>
    <t>Tarifa</t>
  </si>
  <si>
    <t>Pot. contractada</t>
  </si>
  <si>
    <t>Companyia</t>
  </si>
  <si>
    <t>nº Pòlissa</t>
  </si>
  <si>
    <t>Nº CUPS</t>
  </si>
  <si>
    <t>Finalització contracte</t>
  </si>
  <si>
    <t>EDAR ANGLÈS</t>
  </si>
  <si>
    <t>3.1A</t>
  </si>
  <si>
    <t>Endesa Energia S.A.U.</t>
  </si>
  <si>
    <t>ES0031408012632001AV</t>
  </si>
  <si>
    <t>31/07/2018*</t>
  </si>
  <si>
    <t>3.0A</t>
  </si>
  <si>
    <t>31/10/2017*</t>
  </si>
  <si>
    <t>EDAR CALDES MALAVELLA</t>
  </si>
  <si>
    <t>ES0031406145903001CF0F</t>
  </si>
  <si>
    <t>04/12/2017*</t>
  </si>
  <si>
    <t>EBAR Caldes de Malavella</t>
  </si>
  <si>
    <t>ES0031406145775001KW0F</t>
  </si>
  <si>
    <t>EDAR RIUDARENES</t>
  </si>
  <si>
    <t>ES0031406147086001GW0F</t>
  </si>
  <si>
    <t>26/10/2017*</t>
  </si>
  <si>
    <t>EDAR RIUDELLOTS</t>
  </si>
  <si>
    <t>ES0031406148961001JL0F</t>
  </si>
  <si>
    <t>02/04/2018*</t>
  </si>
  <si>
    <t>EBAR POLINGESA</t>
  </si>
  <si>
    <t>ES0031406147580001TP0F</t>
  </si>
  <si>
    <t>31/05/2018*</t>
  </si>
  <si>
    <t>EDAR VILOBÍ D'ONYAR</t>
  </si>
  <si>
    <t>ES0031406150007001KW0F</t>
  </si>
  <si>
    <t>31/08/2018*</t>
  </si>
  <si>
    <t>EDAR AIGUAVIVA PARC</t>
  </si>
  <si>
    <t>999375222824</t>
  </si>
  <si>
    <t>ES0031406150086001MC0F</t>
  </si>
  <si>
    <t>EDAR TERRAFORTUNA</t>
  </si>
  <si>
    <t>ES0031408426321001ET0F</t>
  </si>
  <si>
    <t>PANTANS DE MONTBARBAT</t>
  </si>
  <si>
    <t>ES0031408190298001QX0F</t>
  </si>
  <si>
    <t>* Es renovarà automaticament amb Endesa</t>
  </si>
  <si>
    <t>COS FI</t>
  </si>
  <si>
    <t>Recàrrec ?</t>
  </si>
  <si>
    <t xml:space="preserve">Despeses generals i benefici industrial </t>
  </si>
  <si>
    <t>€/any</t>
  </si>
  <si>
    <t>Anglès- La Cellera</t>
  </si>
  <si>
    <t>Caldes de Malavella</t>
  </si>
  <si>
    <t>Riudellots de la Selva</t>
  </si>
  <si>
    <t>Vilobí d'Onyar</t>
  </si>
  <si>
    <t>Terrafortuna</t>
  </si>
  <si>
    <t>Aiguaviva Parc (fangs líquids)</t>
  </si>
  <si>
    <t>Riudarenes (fangs líquids)</t>
  </si>
  <si>
    <t>Pantans de Montbarbat (fangs líquids)</t>
  </si>
  <si>
    <t>Aiguaviva Parc</t>
  </si>
  <si>
    <t>Pantans de Montbarbat</t>
  </si>
  <si>
    <t>TOTAL</t>
  </si>
  <si>
    <t>TOTAL
DESPESA
DIRECTA (EXECUCIÓ MATERIAL)</t>
  </si>
  <si>
    <t>TOTAL % dedicació personal</t>
  </si>
  <si>
    <t>COST D'EXPLOTACIÓ PER SISTEMA</t>
  </si>
  <si>
    <t>* Aquest import forma part del contracte però s'executarà en funció dels fons que l'ACA atorgui al CCS</t>
  </si>
  <si>
    <t>Cellera de Ter</t>
  </si>
  <si>
    <t>TOTAL
DESPESA
DIRECTA (EXECUCIÓ MATERIAL)
€/any</t>
  </si>
  <si>
    <t>Anys de servei durant el contracte</t>
  </si>
  <si>
    <t>TOTAL
DESPESA
DIRECTA (EXECUCIÓ MATERIAL)
€</t>
  </si>
  <si>
    <t>MODIFICACIONS PREVISTES DEL CONTRACTE PER INCORPORACIÓ DE NOUS SISTEMES DE SANEJAMENT EN ALTA</t>
  </si>
  <si>
    <t>Potencia E. Elèctrica</t>
  </si>
  <si>
    <t>Consum E. Elèctrica EDAR</t>
  </si>
  <si>
    <t>MITJANES CABAL TRACTAT</t>
  </si>
  <si>
    <t>ESTIMACIÓ COST PERSONAL 2025</t>
  </si>
  <si>
    <t>ESTIMACIÓ COST PERSONAL 2026</t>
  </si>
  <si>
    <t>ESTIMACIÓ COST PERSONAL 2027</t>
  </si>
  <si>
    <t>ESTIMACIÓ COST PERSONAL 2028</t>
  </si>
  <si>
    <t>TOTAL cost personal 2024</t>
  </si>
  <si>
    <t>MITJANA PRODUCCIÓ DE 
FANGS 2021-23
(kg)</t>
  </si>
  <si>
    <t>MITJANA CONSUM DE 
CLORUR FÈRRIC                  2021-23
(kg)</t>
  </si>
  <si>
    <t>MITJANA CONSUM DE 
POLIELECTRÒLIT                  2021-23
(kg)</t>
  </si>
  <si>
    <t>(*) són costos sense IVA</t>
  </si>
  <si>
    <t>Cost termes fixos                         Total 2023 (€)</t>
  </si>
  <si>
    <t>Kwh  Activa 2023</t>
  </si>
  <si>
    <t>Kwh  Reactiva 2023</t>
  </si>
  <si>
    <t>TOTAL cost personal 2024 per sistema</t>
  </si>
  <si>
    <t>Cost termes fixos                         Total 2023 (€) per sistema</t>
  </si>
  <si>
    <t>Cost termes variables                                 Total 2023 (€) per sistema</t>
  </si>
  <si>
    <t>Increment de cost de fangs</t>
  </si>
  <si>
    <t>Increment partides materials</t>
  </si>
  <si>
    <t>Consum polielectròlit                 (€)</t>
  </si>
  <si>
    <t>Fangs               (€)</t>
  </si>
  <si>
    <t>TOTAL:</t>
  </si>
  <si>
    <t>MITJANA PRODUCCIÓ DE 
FANGS liquids 2021-23
(m3)</t>
  </si>
  <si>
    <t>Manteniment EDAR                   (€)</t>
  </si>
  <si>
    <t>Manteniment col·lectors                               (€)</t>
  </si>
  <si>
    <t>Productes, materials i serveis varis (€)</t>
  </si>
  <si>
    <t>Despeses administratives                     (€)</t>
  </si>
  <si>
    <t>Evacuació de residus                 (€)</t>
  </si>
  <si>
    <t>Increment anual</t>
  </si>
  <si>
    <t>Increment mitjà del contracte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</si>
  <si>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mes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</si>
  <si>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dia</t>
    </r>
  </si>
  <si>
    <t>Preu fangs</t>
  </si>
  <si>
    <t>Preu fangs líquids</t>
  </si>
  <si>
    <t>Preu Polielectròlit</t>
  </si>
  <si>
    <t>Preu Clorur fèrric</t>
  </si>
  <si>
    <t>FIX ANUAL</t>
  </si>
  <si>
    <t>VARIABLE TOTAL</t>
  </si>
  <si>
    <t>Q (dam3/any)</t>
  </si>
  <si>
    <t>Increment energia</t>
  </si>
  <si>
    <t>CAP DE PROCÉS</t>
  </si>
  <si>
    <t>OFICIAL MANTENIMENT</t>
  </si>
  <si>
    <t>OPERARI CALDES DE MALAVELLA</t>
  </si>
  <si>
    <t>OPERARI RIUDELLOTS DE LA SELVA</t>
  </si>
  <si>
    <t>OPERARI VILOBÍ i RIUDARENES</t>
  </si>
  <si>
    <t>OPERARI TERRAFORTUNA, PANTANS MONTBABAT i AIGUAVIVA PARK</t>
  </si>
  <si>
    <t>ADMINISTRATIU</t>
  </si>
  <si>
    <t>GP 6</t>
  </si>
  <si>
    <t>GP 4</t>
  </si>
  <si>
    <t>GP 3B</t>
  </si>
  <si>
    <t>GP 2A</t>
  </si>
  <si>
    <t>GP 2B</t>
  </si>
  <si>
    <t>Increments salaris</t>
  </si>
  <si>
    <t>IMPORTS SALARIS PER SISTEMES</t>
  </si>
  <si>
    <r>
      <t>Variable €/dam</t>
    </r>
    <r>
      <rPr>
        <b/>
        <vertAlign val="superscript"/>
        <sz val="11"/>
        <rFont val="Arial"/>
        <family val="2"/>
      </rPr>
      <t>3</t>
    </r>
  </si>
  <si>
    <r>
      <t>dam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/any</t>
    </r>
  </si>
  <si>
    <t xml:space="preserve">Cost </t>
  </si>
  <si>
    <t>Anglès - La Cellera</t>
  </si>
  <si>
    <t>Transport + Compostatge Vilablareix</t>
  </si>
  <si>
    <t>Costos 2023</t>
  </si>
  <si>
    <t>Total despeses directes ANUALS d'explotació, conservació i manteniment 
Contracte 2025-2029</t>
  </si>
  <si>
    <t>DESPESES DIRECTES EN ALTA - CONTRACTE 2025-2029</t>
  </si>
  <si>
    <t>ESTIMACIÓ COST PERSONAL 2029</t>
  </si>
  <si>
    <t>MITJANA DE COST 2025-2029</t>
  </si>
  <si>
    <t>OPERARI ANGLÈS</t>
  </si>
  <si>
    <t>Núm. Bombaments externs</t>
  </si>
  <si>
    <t>Km col·lectors</t>
  </si>
  <si>
    <t>% dedicació equip bombaments i col·lectors</t>
  </si>
  <si>
    <t>Assignació del 50%</t>
  </si>
  <si>
    <t>Plantes Nord</t>
  </si>
  <si>
    <t>ANALÍTIQUES AIGUA DE SERVEI</t>
  </si>
  <si>
    <t>MANTENIMENT PROGRAMES DE GESTIÓ</t>
  </si>
  <si>
    <t>AUDITORIA DEL SERVEI</t>
  </si>
  <si>
    <t>TOTAL cost</t>
  </si>
  <si>
    <t>TOTAL cost 2024 per sistema</t>
  </si>
  <si>
    <t>Sistema de gestió</t>
  </si>
  <si>
    <t>Adequació laboratori</t>
  </si>
  <si>
    <t>Cabalímetres:</t>
  </si>
  <si>
    <t>Aiguaviva Parc (recirculació, purga i sortida + obra de font de presentació)</t>
  </si>
  <si>
    <t>Caldes de Malavella (entrada)</t>
  </si>
  <si>
    <t>Riudarenes (entrada)</t>
  </si>
  <si>
    <t>Vilobí d’Onyar (entrada)</t>
  </si>
  <si>
    <t>Eines i materials</t>
  </si>
  <si>
    <t>TOTAL cost 2024</t>
  </si>
  <si>
    <t>Cost total</t>
  </si>
  <si>
    <t>IMPORTS PER SISTEMES</t>
  </si>
  <si>
    <t>ACTUACIONS PER SISTEMES</t>
  </si>
  <si>
    <t>Amer</t>
  </si>
  <si>
    <t>Can Carbonell</t>
  </si>
  <si>
    <t>La Goba</t>
  </si>
  <si>
    <t>CAP DE SERVEI</t>
  </si>
  <si>
    <t>Cost anual</t>
  </si>
  <si>
    <t>Sistema</t>
  </si>
  <si>
    <t>Gral</t>
  </si>
  <si>
    <t>Altres conceptes</t>
  </si>
  <si>
    <t>Actuacions necessàries</t>
  </si>
  <si>
    <t>Sisitema de sanejament</t>
  </si>
  <si>
    <t>SISTEMA SANEJAMENT</t>
  </si>
  <si>
    <t>Sistema sanejament</t>
  </si>
  <si>
    <t>Revisió</t>
  </si>
  <si>
    <t>FIX Diari (€/dia)</t>
  </si>
  <si>
    <t>Total (€/any)</t>
  </si>
  <si>
    <t>VARIABLE (€/dam3)</t>
  </si>
  <si>
    <t>OPERARI MANTENIMENT</t>
  </si>
  <si>
    <t>COORDINACIÓ SEGURETAT I SALUT</t>
  </si>
  <si>
    <t>Consum                    clorur fèrric                             (€)</t>
  </si>
  <si>
    <t>VEHICLES ADDICIONALS</t>
  </si>
  <si>
    <t>Cost termes variables                                 0,20€/kwh (€)</t>
  </si>
  <si>
    <t>PRESSUPOST BASE DE LICITACIÓ  Lot 1 - Selva Nord</t>
  </si>
  <si>
    <t>PRESSUPOST BASE DE LICITACIÓ Lot 1</t>
  </si>
  <si>
    <t>Pressupost base licitació ((SO + PARIMS)*TC)</t>
  </si>
  <si>
    <t>IVA</t>
  </si>
  <si>
    <t xml:space="preserve">Anys  </t>
  </si>
  <si>
    <t>Pressupost licitació sense IVA</t>
  </si>
  <si>
    <t xml:space="preserve">Pressupost base Servei d'Operació (Explotació, Conservació i Manteniment) dels sistemes de sanejament (SO)               </t>
  </si>
  <si>
    <t>Pressupost base Partida Alçada per l’execució de Reposicions i Millores (PARIMS)*</t>
  </si>
  <si>
    <t>Pressupost base licitació</t>
  </si>
  <si>
    <t>P1 93KW; P2 93KW;P3 93KW;P4 93KW;P5 93KW;P6 125KW</t>
  </si>
  <si>
    <t>P1 75KW;P2 75KW;P3 75KW;P4 75KW;P5 75KW;P6 75KW</t>
  </si>
  <si>
    <t>P1 32KW; P2 32KW;P3 32KW;P4 32KW;P5 32KW;P6 32KW</t>
  </si>
  <si>
    <t>P1 17KW; P2 17KW;P3 17KW;P4 17KW;P5 17KW;P6 17KW</t>
  </si>
  <si>
    <t>P1 100KW; P2 100KW;P3 100KW;P4 100KW;P5 100KW;P6 100KW</t>
  </si>
  <si>
    <t>P1 16KW;P2 16KW;P3 16KW;P4 16KW;P5 16KW;P6 55KW</t>
  </si>
  <si>
    <t>P1 40KW;P2 40KW;P3 40KW;P4 40KW;P5 40KW;P6 40KW</t>
  </si>
  <si>
    <t>P1 31,5KW;P2 31,5KW;P3 31,5KW;P4 31,5KW;P5 31,5KW;P6 31,5KW</t>
  </si>
  <si>
    <t>P1 31,177KW;P2 31,177KW;P3 31,177KW;P4 31,177KW;P5 31,177KW;P6 31,177KW</t>
  </si>
  <si>
    <t>P1 8KW;P2 8KW;P3 19KW;P4 19KW;P5 19KW;P6 20,78</t>
  </si>
  <si>
    <t>OPERARI SUBSTITUCIONS (CORRETORNS)</t>
  </si>
  <si>
    <t>ANALISTA I RESPONSABLE DE QUALITAT</t>
  </si>
  <si>
    <t>OFICIAL MANTENIMENT COL·LECTORS, EBARs I SOBREEIXIDORS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</si>
</sst>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"/>
    <numFmt numFmtId="165" formatCode="_-* #,##0.00\ [$€-1]_-;\-* #,##0.00\ [$€-1]_-;_-* &quot;-&quot;??\ [$€-1]_-"/>
    <numFmt numFmtId="166" formatCode="0.000"/>
    <numFmt numFmtId="167" formatCode="_-* #,##0.00\ [$€]_-;\-* #,##0.00\ [$€]_-;_-* &quot;-&quot;??\ [$€]_-;_-@_-"/>
    <numFmt numFmtId="168" formatCode="_-* #,##0\ _p_t_a_-;\-* #,##0\ _p_t_a_-;_-* &quot;-&quot;\ _p_t_a_-;_-@_-"/>
    <numFmt numFmtId="169" formatCode="0.0%"/>
    <numFmt numFmtId="170" formatCode="#,##0.00\ &quot;€&quot;"/>
    <numFmt numFmtId="171" formatCode="0.0"/>
    <numFmt numFmtId="172" formatCode="#,##0.00_ ;\-#,##0.00\ "/>
    <numFmt numFmtId="173" formatCode="#,##0\ &quot;€&quot;"/>
    <numFmt numFmtId="174" formatCode="#,##0.00000\ &quot;€&quot;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G Times"/>
    </font>
    <font>
      <sz val="10"/>
      <color indexed="22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sz val="11"/>
      <name val="Calibri"/>
      <family val="2"/>
      <scheme val="minor"/>
    </font>
    <font>
      <b/>
      <vertAlign val="superscript"/>
      <sz val="11"/>
      <name val="Arial"/>
      <family val="2"/>
    </font>
    <font>
      <sz val="11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2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19" fillId="0" borderId="0"/>
    <xf numFmtId="0" fontId="7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2" fillId="0" borderId="0"/>
    <xf numFmtId="0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0" applyNumberFormat="0" applyBorder="0" applyAlignment="0" applyProtection="0"/>
    <xf numFmtId="0" fontId="31" fillId="19" borderId="40" applyNumberFormat="0" applyAlignment="0" applyProtection="0"/>
    <xf numFmtId="0" fontId="32" fillId="20" borderId="41" applyNumberFormat="0" applyAlignment="0" applyProtection="0"/>
    <xf numFmtId="0" fontId="33" fillId="0" borderId="42" applyNumberFormat="0" applyFill="0" applyAlignment="0" applyProtection="0"/>
    <xf numFmtId="0" fontId="34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4" borderId="0" applyNumberFormat="0" applyBorder="0" applyAlignment="0" applyProtection="0"/>
    <xf numFmtId="0" fontId="35" fillId="10" borderId="40" applyNumberFormat="0" applyAlignment="0" applyProtection="0"/>
    <xf numFmtId="0" fontId="36" fillId="6" borderId="0" applyNumberFormat="0" applyBorder="0" applyAlignment="0" applyProtection="0"/>
    <xf numFmtId="168" fontId="5" fillId="0" borderId="0" applyFont="0" applyFill="0" applyBorder="0" applyAlignment="0" applyProtection="0"/>
    <xf numFmtId="0" fontId="37" fillId="25" borderId="0" applyNumberFormat="0" applyBorder="0" applyAlignment="0" applyProtection="0"/>
    <xf numFmtId="0" fontId="5" fillId="0" borderId="0"/>
    <xf numFmtId="0" fontId="5" fillId="26" borderId="44" applyNumberFormat="0" applyFont="0" applyAlignment="0" applyProtection="0"/>
    <xf numFmtId="3" fontId="38" fillId="0" borderId="0" applyFont="0" applyFill="0" applyBorder="0" applyAlignment="0" applyProtection="0"/>
    <xf numFmtId="0" fontId="39" fillId="19" borderId="4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3" applyNumberFormat="0" applyFill="0" applyAlignment="0" applyProtection="0"/>
    <xf numFmtId="0" fontId="44" fillId="0" borderId="46" applyNumberFormat="0" applyFill="0" applyAlignment="0" applyProtection="0"/>
    <xf numFmtId="0" fontId="34" fillId="0" borderId="47" applyNumberFormat="0" applyFill="0" applyAlignment="0" applyProtection="0"/>
    <xf numFmtId="0" fontId="45" fillId="0" borderId="48" applyNumberFormat="0" applyFill="0" applyAlignment="0" applyProtection="0"/>
  </cellStyleXfs>
  <cellXfs count="476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13" fillId="2" borderId="3" xfId="32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 indent="4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4" fontId="9" fillId="0" borderId="7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4" fontId="11" fillId="0" borderId="0" xfId="13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1" fillId="0" borderId="18" xfId="41" applyNumberFormat="1" applyFont="1" applyFill="1" applyBorder="1" applyAlignment="1">
      <alignment horizontal="center" vertical="center"/>
    </xf>
    <xf numFmtId="170" fontId="11" fillId="0" borderId="0" xfId="13" applyNumberFormat="1" applyFont="1" applyBorder="1" applyAlignment="1">
      <alignment horizontal="center" vertical="center"/>
    </xf>
    <xf numFmtId="170" fontId="11" fillId="0" borderId="10" xfId="13" applyNumberFormat="1" applyFont="1" applyBorder="1" applyAlignment="1">
      <alignment horizontal="center" vertical="center"/>
    </xf>
    <xf numFmtId="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70" fontId="11" fillId="0" borderId="10" xfId="13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70" fontId="6" fillId="0" borderId="10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4" xfId="0" applyNumberFormat="1" applyBorder="1" applyAlignment="1">
      <alignment horizontal="center" vertical="center"/>
    </xf>
    <xf numFmtId="7" fontId="9" fillId="0" borderId="0" xfId="1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0" fontId="23" fillId="0" borderId="0" xfId="0" applyFont="1"/>
    <xf numFmtId="0" fontId="6" fillId="0" borderId="3" xfId="0" applyFont="1" applyBorder="1" applyAlignment="1">
      <alignment horizontal="center" vertical="center" wrapText="1"/>
    </xf>
    <xf numFmtId="0" fontId="15" fillId="2" borderId="3" xfId="33" applyFill="1" applyBorder="1" applyAlignment="1">
      <alignment horizontal="center" vertical="center"/>
    </xf>
    <xf numFmtId="2" fontId="5" fillId="0" borderId="0" xfId="0" applyNumberFormat="1" applyFont="1"/>
    <xf numFmtId="0" fontId="0" fillId="0" borderId="3" xfId="0" applyBorder="1"/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3" fontId="0" fillId="0" borderId="3" xfId="0" applyNumberFormat="1" applyBorder="1"/>
    <xf numFmtId="0" fontId="9" fillId="0" borderId="0" xfId="0" applyFont="1" applyAlignment="1">
      <alignment horizontal="center" vertical="center" wrapText="1"/>
    </xf>
    <xf numFmtId="44" fontId="11" fillId="0" borderId="0" xfId="13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0" fillId="0" borderId="0" xfId="0" applyNumberFormat="1"/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0" fontId="5" fillId="0" borderId="3" xfId="0" applyFont="1" applyBorder="1"/>
    <xf numFmtId="173" fontId="6" fillId="0" borderId="0" xfId="0" applyNumberFormat="1" applyFont="1" applyAlignment="1">
      <alignment horizontal="center" vertical="center"/>
    </xf>
    <xf numFmtId="169" fontId="9" fillId="0" borderId="0" xfId="41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4" fontId="5" fillId="0" borderId="5" xfId="0" applyNumberFormat="1" applyFont="1" applyBorder="1"/>
    <xf numFmtId="4" fontId="5" fillId="0" borderId="3" xfId="0" applyNumberFormat="1" applyFont="1" applyBorder="1"/>
    <xf numFmtId="0" fontId="24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41" applyFont="1" applyFill="1" applyBorder="1" applyAlignment="1">
      <alignment horizontal="center" vertical="center" wrapText="1"/>
    </xf>
    <xf numFmtId="170" fontId="20" fillId="0" borderId="0" xfId="13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4" fontId="0" fillId="0" borderId="0" xfId="0" applyNumberFormat="1"/>
    <xf numFmtId="4" fontId="11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/>
    </xf>
    <xf numFmtId="9" fontId="10" fillId="0" borderId="3" xfId="41" applyFont="1" applyFill="1" applyBorder="1" applyAlignment="1">
      <alignment horizontal="center" vertical="center" wrapText="1"/>
    </xf>
    <xf numFmtId="4" fontId="6" fillId="0" borderId="19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24" fillId="0" borderId="0" xfId="0" applyNumberFormat="1" applyFont="1"/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170" fontId="5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70" fontId="0" fillId="0" borderId="8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0" fontId="6" fillId="0" borderId="0" xfId="0" applyFont="1"/>
    <xf numFmtId="0" fontId="6" fillId="0" borderId="18" xfId="0" applyFont="1" applyBorder="1" applyAlignment="1">
      <alignment vertical="center"/>
    </xf>
    <xf numFmtId="0" fontId="6" fillId="4" borderId="22" xfId="0" applyFont="1" applyFill="1" applyBorder="1"/>
    <xf numFmtId="171" fontId="6" fillId="0" borderId="20" xfId="0" applyNumberFormat="1" applyFont="1" applyBorder="1" applyAlignment="1">
      <alignment horizontal="center"/>
    </xf>
    <xf numFmtId="171" fontId="6" fillId="0" borderId="18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1" xfId="0" applyFont="1" applyBorder="1"/>
    <xf numFmtId="171" fontId="0" fillId="0" borderId="3" xfId="0" applyNumberFormat="1" applyBorder="1" applyAlignment="1">
      <alignment horizontal="center"/>
    </xf>
    <xf numFmtId="0" fontId="0" fillId="0" borderId="38" xfId="0" applyBorder="1"/>
    <xf numFmtId="171" fontId="0" fillId="0" borderId="6" xfId="0" applyNumberForma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4" fontId="28" fillId="0" borderId="25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 vertical="center"/>
    </xf>
    <xf numFmtId="3" fontId="10" fillId="0" borderId="33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center" vertical="center"/>
    </xf>
    <xf numFmtId="44" fontId="5" fillId="0" borderId="3" xfId="13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4" fontId="5" fillId="0" borderId="7" xfId="13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171" fontId="5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70" fontId="6" fillId="0" borderId="0" xfId="1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" fontId="5" fillId="0" borderId="0" xfId="0" applyNumberFormat="1" applyFont="1"/>
    <xf numFmtId="10" fontId="5" fillId="0" borderId="0" xfId="41" applyNumberFormat="1" applyFont="1"/>
    <xf numFmtId="3" fontId="5" fillId="0" borderId="2" xfId="43" applyNumberFormat="1" applyFont="1" applyBorder="1"/>
    <xf numFmtId="44" fontId="5" fillId="0" borderId="13" xfId="13" applyFont="1" applyBorder="1" applyAlignment="1">
      <alignment vertical="center"/>
    </xf>
    <xf numFmtId="44" fontId="5" fillId="0" borderId="14" xfId="13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43" applyNumberFormat="1" applyFont="1" applyBorder="1"/>
    <xf numFmtId="3" fontId="5" fillId="0" borderId="56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/>
    </xf>
    <xf numFmtId="3" fontId="5" fillId="0" borderId="8" xfId="43" applyNumberFormat="1" applyFont="1" applyBorder="1"/>
    <xf numFmtId="3" fontId="10" fillId="0" borderId="51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right" vertical="center"/>
    </xf>
    <xf numFmtId="170" fontId="0" fillId="0" borderId="14" xfId="0" applyNumberFormat="1" applyBorder="1" applyAlignment="1">
      <alignment horizontal="center" vertical="center"/>
    </xf>
    <xf numFmtId="170" fontId="0" fillId="0" borderId="7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6" fillId="0" borderId="29" xfId="0" applyFont="1" applyBorder="1" applyAlignment="1">
      <alignment horizontal="center" vertical="center" wrapText="1"/>
    </xf>
    <xf numFmtId="44" fontId="5" fillId="0" borderId="16" xfId="13" applyFont="1" applyBorder="1" applyAlignment="1">
      <alignment vertical="center"/>
    </xf>
    <xf numFmtId="44" fontId="5" fillId="0" borderId="17" xfId="13" applyFont="1" applyBorder="1" applyAlignment="1">
      <alignment vertical="center"/>
    </xf>
    <xf numFmtId="173" fontId="6" fillId="0" borderId="10" xfId="0" applyNumberFormat="1" applyFont="1" applyBorder="1" applyAlignment="1">
      <alignment horizontal="center" vertical="center"/>
    </xf>
    <xf numFmtId="170" fontId="6" fillId="0" borderId="18" xfId="0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9" fontId="10" fillId="0" borderId="13" xfId="41" applyFont="1" applyFill="1" applyBorder="1" applyAlignment="1">
      <alignment horizontal="center" vertical="center" wrapText="1"/>
    </xf>
    <xf numFmtId="4" fontId="5" fillId="0" borderId="14" xfId="0" applyNumberFormat="1" applyFont="1" applyBorder="1"/>
    <xf numFmtId="0" fontId="24" fillId="0" borderId="2" xfId="0" applyFont="1" applyBorder="1"/>
    <xf numFmtId="4" fontId="5" fillId="0" borderId="7" xfId="0" applyNumberFormat="1" applyFont="1" applyBorder="1"/>
    <xf numFmtId="4" fontId="24" fillId="0" borderId="7" xfId="0" applyNumberFormat="1" applyFont="1" applyBorder="1"/>
    <xf numFmtId="0" fontId="24" fillId="0" borderId="8" xfId="0" applyFont="1" applyBorder="1"/>
    <xf numFmtId="0" fontId="2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9" fontId="10" fillId="0" borderId="4" xfId="41" applyFont="1" applyFill="1" applyBorder="1" applyAlignment="1">
      <alignment horizontal="center" vertical="center" wrapText="1"/>
    </xf>
    <xf numFmtId="4" fontId="24" fillId="0" borderId="9" xfId="0" applyNumberFormat="1" applyFont="1" applyBorder="1"/>
    <xf numFmtId="170" fontId="5" fillId="0" borderId="58" xfId="0" applyNumberFormat="1" applyFont="1" applyBorder="1" applyAlignment="1">
      <alignment horizontal="center" vertical="center"/>
    </xf>
    <xf numFmtId="170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0" fontId="6" fillId="27" borderId="18" xfId="0" applyNumberFormat="1" applyFont="1" applyFill="1" applyBorder="1" applyAlignment="1">
      <alignment horizontal="center" vertical="center"/>
    </xf>
    <xf numFmtId="170" fontId="6" fillId="27" borderId="25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5" fillId="0" borderId="2" xfId="31" applyFont="1" applyBorder="1" applyAlignment="1">
      <alignment horizontal="center" vertical="center" wrapText="1"/>
    </xf>
    <xf numFmtId="0" fontId="5" fillId="0" borderId="7" xfId="31" applyFont="1" applyBorder="1" applyAlignment="1">
      <alignment horizontal="center" vertical="center" wrapText="1"/>
    </xf>
    <xf numFmtId="166" fontId="5" fillId="0" borderId="8" xfId="31" applyNumberFormat="1" applyFont="1" applyBorder="1" applyAlignment="1">
      <alignment horizontal="center" vertical="center"/>
    </xf>
    <xf numFmtId="166" fontId="5" fillId="0" borderId="9" xfId="31" applyNumberFormat="1" applyFont="1" applyBorder="1" applyAlignment="1">
      <alignment horizontal="center" vertical="center"/>
    </xf>
    <xf numFmtId="4" fontId="6" fillId="0" borderId="22" xfId="0" applyNumberFormat="1" applyFont="1" applyBorder="1"/>
    <xf numFmtId="4" fontId="6" fillId="0" borderId="25" xfId="0" applyNumberFormat="1" applyFont="1" applyBorder="1"/>
    <xf numFmtId="3" fontId="6" fillId="0" borderId="9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5" fillId="0" borderId="57" xfId="0" applyFont="1" applyBorder="1"/>
    <xf numFmtId="0" fontId="5" fillId="0" borderId="60" xfId="0" applyFont="1" applyBorder="1"/>
    <xf numFmtId="0" fontId="5" fillId="0" borderId="61" xfId="0" applyFont="1" applyBorder="1"/>
    <xf numFmtId="2" fontId="6" fillId="0" borderId="22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8" xfId="0" applyFont="1" applyBorder="1"/>
    <xf numFmtId="170" fontId="5" fillId="0" borderId="13" xfId="0" applyNumberFormat="1" applyFont="1" applyBorder="1"/>
    <xf numFmtId="170" fontId="5" fillId="0" borderId="14" xfId="0" applyNumberFormat="1" applyFont="1" applyBorder="1"/>
    <xf numFmtId="170" fontId="5" fillId="0" borderId="5" xfId="0" applyNumberFormat="1" applyFont="1" applyBorder="1"/>
    <xf numFmtId="170" fontId="5" fillId="0" borderId="3" xfId="0" applyNumberFormat="1" applyFont="1" applyBorder="1"/>
    <xf numFmtId="170" fontId="5" fillId="0" borderId="12" xfId="0" applyNumberFormat="1" applyFont="1" applyBorder="1"/>
    <xf numFmtId="170" fontId="5" fillId="0" borderId="7" xfId="0" applyNumberFormat="1" applyFont="1" applyBorder="1"/>
    <xf numFmtId="170" fontId="5" fillId="0" borderId="4" xfId="0" applyNumberFormat="1" applyFont="1" applyBorder="1"/>
    <xf numFmtId="170" fontId="5" fillId="0" borderId="9" xfId="0" applyNumberFormat="1" applyFont="1" applyBorder="1"/>
    <xf numFmtId="0" fontId="9" fillId="0" borderId="20" xfId="0" applyFont="1" applyBorder="1" applyAlignment="1">
      <alignment horizontal="right"/>
    </xf>
    <xf numFmtId="170" fontId="9" fillId="0" borderId="18" xfId="0" applyNumberFormat="1" applyFont="1" applyBorder="1"/>
    <xf numFmtId="170" fontId="9" fillId="0" borderId="10" xfId="0" applyNumberFormat="1" applyFont="1" applyBorder="1"/>
    <xf numFmtId="170" fontId="5" fillId="0" borderId="31" xfId="0" applyNumberFormat="1" applyFont="1" applyBorder="1"/>
    <xf numFmtId="170" fontId="5" fillId="0" borderId="64" xfId="0" applyNumberFormat="1" applyFont="1" applyBorder="1"/>
    <xf numFmtId="170" fontId="5" fillId="0" borderId="65" xfId="0" applyNumberFormat="1" applyFont="1" applyBorder="1"/>
    <xf numFmtId="0" fontId="0" fillId="0" borderId="1" xfId="0" applyBorder="1"/>
    <xf numFmtId="0" fontId="0" fillId="0" borderId="8" xfId="0" applyBorder="1"/>
    <xf numFmtId="0" fontId="5" fillId="0" borderId="28" xfId="0" applyFont="1" applyBorder="1" applyAlignment="1">
      <alignment horizontal="left" vertical="center"/>
    </xf>
    <xf numFmtId="170" fontId="0" fillId="0" borderId="14" xfId="0" applyNumberForma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15" xfId="0" applyBorder="1"/>
    <xf numFmtId="170" fontId="0" fillId="0" borderId="17" xfId="0" applyNumberFormat="1" applyBorder="1"/>
    <xf numFmtId="0" fontId="6" fillId="0" borderId="20" xfId="0" applyFont="1" applyBorder="1"/>
    <xf numFmtId="0" fontId="6" fillId="0" borderId="20" xfId="0" applyFont="1" applyBorder="1" applyAlignment="1">
      <alignment horizontal="right"/>
    </xf>
    <xf numFmtId="0" fontId="6" fillId="27" borderId="20" xfId="0" applyFont="1" applyFill="1" applyBorder="1" applyAlignment="1">
      <alignment horizontal="right"/>
    </xf>
    <xf numFmtId="170" fontId="6" fillId="27" borderId="10" xfId="0" applyNumberFormat="1" applyFont="1" applyFill="1" applyBorder="1"/>
    <xf numFmtId="0" fontId="28" fillId="0" borderId="22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4" fontId="28" fillId="0" borderId="27" xfId="0" applyNumberFormat="1" applyFont="1" applyBorder="1" applyAlignment="1">
      <alignment horizontal="center" vertical="center" wrapText="1"/>
    </xf>
    <xf numFmtId="4" fontId="28" fillId="0" borderId="25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170" fontId="27" fillId="0" borderId="13" xfId="0" applyNumberFormat="1" applyFont="1" applyBorder="1" applyAlignment="1">
      <alignment vertical="center"/>
    </xf>
    <xf numFmtId="170" fontId="27" fillId="0" borderId="14" xfId="0" applyNumberFormat="1" applyFont="1" applyBorder="1" applyAlignment="1">
      <alignment vertical="center"/>
    </xf>
    <xf numFmtId="170" fontId="5" fillId="0" borderId="3" xfId="0" applyNumberFormat="1" applyFont="1" applyBorder="1" applyAlignment="1">
      <alignment vertical="center"/>
    </xf>
    <xf numFmtId="170" fontId="27" fillId="0" borderId="7" xfId="0" applyNumberFormat="1" applyFont="1" applyBorder="1" applyAlignment="1">
      <alignment vertical="center"/>
    </xf>
    <xf numFmtId="170" fontId="27" fillId="0" borderId="3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170" fontId="6" fillId="0" borderId="10" xfId="0" applyNumberFormat="1" applyFont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 applyAlignment="1">
      <alignment horizontal="center" vertical="center" wrapText="1"/>
    </xf>
    <xf numFmtId="166" fontId="5" fillId="0" borderId="3" xfId="31" applyNumberFormat="1" applyFont="1" applyBorder="1" applyAlignment="1">
      <alignment horizontal="center" vertical="center"/>
    </xf>
    <xf numFmtId="166" fontId="5" fillId="0" borderId="0" xfId="31" applyNumberFormat="1" applyFont="1" applyAlignment="1">
      <alignment horizontal="center" vertical="center"/>
    </xf>
    <xf numFmtId="0" fontId="6" fillId="0" borderId="4" xfId="31" applyFont="1" applyBorder="1" applyAlignment="1">
      <alignment horizontal="center" vertical="center" wrapText="1"/>
    </xf>
    <xf numFmtId="4" fontId="6" fillId="0" borderId="4" xfId="31" applyNumberFormat="1" applyFont="1" applyBorder="1" applyAlignment="1">
      <alignment horizontal="center" vertical="center" wrapText="1"/>
    </xf>
    <xf numFmtId="4" fontId="6" fillId="0" borderId="4" xfId="31" applyNumberFormat="1" applyFont="1" applyBorder="1" applyAlignment="1">
      <alignment horizontal="center" vertical="center"/>
    </xf>
    <xf numFmtId="4" fontId="5" fillId="0" borderId="3" xfId="31" applyNumberFormat="1" applyFont="1" applyBorder="1" applyAlignment="1">
      <alignment vertical="center"/>
    </xf>
    <xf numFmtId="4" fontId="5" fillId="0" borderId="0" xfId="31" applyNumberFormat="1" applyFont="1" applyAlignment="1">
      <alignment vertical="center"/>
    </xf>
    <xf numFmtId="4" fontId="5" fillId="0" borderId="0" xfId="31" applyNumberFormat="1" applyFont="1" applyAlignment="1">
      <alignment horizontal="center" vertical="center"/>
    </xf>
    <xf numFmtId="0" fontId="6" fillId="0" borderId="21" xfId="31" applyFont="1" applyBorder="1" applyAlignment="1">
      <alignment horizontal="center" vertical="center"/>
    </xf>
    <xf numFmtId="0" fontId="6" fillId="0" borderId="37" xfId="31" applyFont="1" applyBorder="1" applyAlignment="1">
      <alignment horizontal="center" vertical="center" wrapText="1"/>
    </xf>
    <xf numFmtId="0" fontId="6" fillId="0" borderId="59" xfId="31" applyFont="1" applyBorder="1" applyAlignment="1">
      <alignment horizontal="center" vertical="center" wrapText="1"/>
    </xf>
    <xf numFmtId="0" fontId="5" fillId="0" borderId="1" xfId="31" applyFont="1" applyBorder="1" applyAlignment="1">
      <alignment horizontal="left" vertical="center"/>
    </xf>
    <xf numFmtId="166" fontId="5" fillId="0" borderId="13" xfId="31" applyNumberFormat="1" applyFont="1" applyBorder="1" applyAlignment="1">
      <alignment horizontal="center" vertical="center"/>
    </xf>
    <xf numFmtId="166" fontId="5" fillId="0" borderId="14" xfId="31" applyNumberFormat="1" applyFont="1" applyBorder="1" applyAlignment="1">
      <alignment horizontal="center" vertical="center"/>
    </xf>
    <xf numFmtId="0" fontId="5" fillId="0" borderId="2" xfId="31" applyFont="1" applyBorder="1" applyAlignment="1">
      <alignment horizontal="left" vertical="center"/>
    </xf>
    <xf numFmtId="166" fontId="5" fillId="0" borderId="7" xfId="31" applyNumberFormat="1" applyFont="1" applyBorder="1" applyAlignment="1">
      <alignment horizontal="center" vertical="center"/>
    </xf>
    <xf numFmtId="0" fontId="5" fillId="0" borderId="8" xfId="31" applyFont="1" applyBorder="1" applyAlignment="1">
      <alignment horizontal="left" vertical="center"/>
    </xf>
    <xf numFmtId="166" fontId="5" fillId="0" borderId="4" xfId="31" applyNumberFormat="1" applyFont="1" applyBorder="1" applyAlignment="1">
      <alignment horizontal="center" vertical="center"/>
    </xf>
    <xf numFmtId="170" fontId="5" fillId="0" borderId="13" xfId="31" applyNumberFormat="1" applyFont="1" applyBorder="1" applyAlignment="1">
      <alignment vertical="center"/>
    </xf>
    <xf numFmtId="170" fontId="5" fillId="0" borderId="3" xfId="31" applyNumberFormat="1" applyFont="1" applyBorder="1" applyAlignment="1">
      <alignment vertical="center"/>
    </xf>
    <xf numFmtId="170" fontId="5" fillId="0" borderId="5" xfId="31" applyNumberFormat="1" applyFont="1" applyBorder="1" applyAlignment="1">
      <alignment vertical="center"/>
    </xf>
    <xf numFmtId="170" fontId="5" fillId="0" borderId="4" xfId="31" applyNumberFormat="1" applyFont="1" applyBorder="1" applyAlignment="1">
      <alignment vertical="center"/>
    </xf>
    <xf numFmtId="170" fontId="5" fillId="0" borderId="26" xfId="31" applyNumberFormat="1" applyFont="1" applyBorder="1" applyAlignment="1">
      <alignment vertical="center"/>
    </xf>
    <xf numFmtId="170" fontId="6" fillId="0" borderId="13" xfId="31" applyNumberFormat="1" applyFont="1" applyBorder="1" applyAlignment="1">
      <alignment vertical="center"/>
    </xf>
    <xf numFmtId="170" fontId="6" fillId="0" borderId="5" xfId="31" applyNumberFormat="1" applyFont="1" applyBorder="1" applyAlignment="1">
      <alignment vertical="center"/>
    </xf>
    <xf numFmtId="170" fontId="6" fillId="0" borderId="26" xfId="31" applyNumberFormat="1" applyFont="1" applyBorder="1" applyAlignment="1">
      <alignment vertical="center"/>
    </xf>
    <xf numFmtId="170" fontId="6" fillId="0" borderId="3" xfId="31" applyNumberFormat="1" applyFont="1" applyBorder="1" applyAlignment="1">
      <alignment vertical="center"/>
    </xf>
    <xf numFmtId="170" fontId="5" fillId="0" borderId="1" xfId="31" applyNumberFormat="1" applyFont="1" applyBorder="1" applyAlignment="1">
      <alignment vertical="center"/>
    </xf>
    <xf numFmtId="170" fontId="5" fillId="0" borderId="2" xfId="31" applyNumberFormat="1" applyFont="1" applyBorder="1" applyAlignment="1">
      <alignment vertical="center"/>
    </xf>
    <xf numFmtId="170" fontId="5" fillId="0" borderId="8" xfId="31" applyNumberFormat="1" applyFont="1" applyBorder="1" applyAlignment="1">
      <alignment vertical="center"/>
    </xf>
    <xf numFmtId="0" fontId="5" fillId="0" borderId="55" xfId="0" applyFont="1" applyBorder="1"/>
    <xf numFmtId="0" fontId="5" fillId="0" borderId="38" xfId="0" applyFont="1" applyBorder="1"/>
    <xf numFmtId="164" fontId="5" fillId="0" borderId="57" xfId="31" applyNumberFormat="1" applyFont="1" applyBorder="1" applyAlignment="1">
      <alignment horizontal="center" vertical="center"/>
    </xf>
    <xf numFmtId="164" fontId="5" fillId="0" borderId="66" xfId="31" applyNumberFormat="1" applyFont="1" applyBorder="1" applyAlignment="1">
      <alignment horizontal="center" vertical="center"/>
    </xf>
    <xf numFmtId="164" fontId="5" fillId="0" borderId="39" xfId="31" applyNumberFormat="1" applyFont="1" applyBorder="1" applyAlignment="1">
      <alignment horizontal="center" vertical="center"/>
    </xf>
    <xf numFmtId="0" fontId="5" fillId="0" borderId="50" xfId="0" applyFont="1" applyBorder="1"/>
    <xf numFmtId="170" fontId="6" fillId="0" borderId="14" xfId="31" applyNumberFormat="1" applyFont="1" applyBorder="1" applyAlignment="1">
      <alignment vertical="center"/>
    </xf>
    <xf numFmtId="170" fontId="6" fillId="0" borderId="7" xfId="31" applyNumberFormat="1" applyFont="1" applyBorder="1" applyAlignment="1">
      <alignment vertical="center"/>
    </xf>
    <xf numFmtId="170" fontId="6" fillId="0" borderId="9" xfId="31" applyNumberFormat="1" applyFont="1" applyBorder="1" applyAlignment="1">
      <alignment vertical="center"/>
    </xf>
    <xf numFmtId="0" fontId="6" fillId="0" borderId="8" xfId="31" applyFont="1" applyBorder="1" applyAlignment="1">
      <alignment horizontal="center" vertical="center" wrapText="1"/>
    </xf>
    <xf numFmtId="4" fontId="6" fillId="0" borderId="8" xfId="31" applyNumberFormat="1" applyFont="1" applyBorder="1" applyAlignment="1">
      <alignment horizontal="center" vertical="center" wrapText="1"/>
    </xf>
    <xf numFmtId="170" fontId="6" fillId="0" borderId="4" xfId="31" applyNumberFormat="1" applyFont="1" applyBorder="1" applyAlignment="1">
      <alignment vertical="center"/>
    </xf>
    <xf numFmtId="170" fontId="5" fillId="0" borderId="0" xfId="31" applyNumberFormat="1" applyFont="1" applyAlignment="1">
      <alignment horizontal="center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4" fontId="6" fillId="4" borderId="20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70" fontId="27" fillId="0" borderId="4" xfId="0" applyNumberFormat="1" applyFont="1" applyBorder="1" applyAlignment="1">
      <alignment vertical="center"/>
    </xf>
    <xf numFmtId="170" fontId="27" fillId="0" borderId="9" xfId="0" applyNumberFormat="1" applyFont="1" applyBorder="1" applyAlignment="1">
      <alignment vertical="center"/>
    </xf>
    <xf numFmtId="170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170" fontId="10" fillId="0" borderId="3" xfId="4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justify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78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78" applyFont="1" applyAlignment="1">
      <alignment horizontal="justify" vertical="center" wrapText="1"/>
    </xf>
    <xf numFmtId="44" fontId="10" fillId="0" borderId="0" xfId="13" applyFont="1" applyFill="1" applyBorder="1" applyAlignment="1">
      <alignment horizontal="center" vertical="center"/>
    </xf>
    <xf numFmtId="44" fontId="10" fillId="0" borderId="0" xfId="0" applyNumberFormat="1" applyFont="1" applyAlignment="1">
      <alignment vertical="center"/>
    </xf>
    <xf numFmtId="9" fontId="10" fillId="0" borderId="0" xfId="0" applyNumberFormat="1" applyFont="1" applyAlignment="1">
      <alignment vertical="center"/>
    </xf>
    <xf numFmtId="44" fontId="10" fillId="0" borderId="0" xfId="13" applyFont="1" applyFill="1" applyBorder="1" applyAlignment="1">
      <alignment vertical="center"/>
    </xf>
    <xf numFmtId="44" fontId="9" fillId="0" borderId="0" xfId="13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vertical="center"/>
    </xf>
    <xf numFmtId="0" fontId="9" fillId="3" borderId="22" xfId="0" applyFont="1" applyFill="1" applyBorder="1" applyAlignment="1">
      <alignment horizontal="center" vertical="center"/>
    </xf>
    <xf numFmtId="9" fontId="5" fillId="0" borderId="3" xfId="0" applyNumberFormat="1" applyFont="1" applyBorder="1" applyAlignment="1">
      <alignment vertical="center"/>
    </xf>
    <xf numFmtId="44" fontId="5" fillId="0" borderId="3" xfId="0" applyNumberFormat="1" applyFont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9" fillId="3" borderId="27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44" fontId="10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9" fillId="4" borderId="22" xfId="78" applyFont="1" applyFill="1" applyBorder="1" applyAlignment="1">
      <alignment horizontal="justify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horizontal="justify" vertical="center" wrapText="1"/>
    </xf>
    <xf numFmtId="44" fontId="5" fillId="0" borderId="5" xfId="13" applyFont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0" fontId="9" fillId="0" borderId="0" xfId="0" applyNumberFormat="1" applyFont="1" applyAlignment="1">
      <alignment vertical="center"/>
    </xf>
    <xf numFmtId="170" fontId="10" fillId="0" borderId="5" xfId="0" applyNumberFormat="1" applyFont="1" applyBorder="1" applyAlignment="1">
      <alignment horizontal="center" vertical="center"/>
    </xf>
    <xf numFmtId="170" fontId="10" fillId="0" borderId="3" xfId="0" applyNumberFormat="1" applyFont="1" applyBorder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0" fontId="46" fillId="3" borderId="22" xfId="0" applyFont="1" applyFill="1" applyBorder="1" applyAlignment="1">
      <alignment horizontal="center" vertical="center"/>
    </xf>
    <xf numFmtId="0" fontId="46" fillId="3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9" fillId="0" borderId="0" xfId="78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4" fontId="9" fillId="27" borderId="27" xfId="0" applyNumberFormat="1" applyFont="1" applyFill="1" applyBorder="1" applyAlignment="1">
      <alignment horizontal="right" vertical="center" wrapText="1"/>
    </xf>
    <xf numFmtId="0" fontId="9" fillId="27" borderId="27" xfId="0" applyFont="1" applyFill="1" applyBorder="1" applyAlignment="1">
      <alignment horizontal="right" vertical="center" wrapText="1"/>
    </xf>
    <xf numFmtId="0" fontId="9" fillId="27" borderId="2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44" fontId="11" fillId="0" borderId="0" xfId="1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27" borderId="22" xfId="0" applyFont="1" applyFill="1" applyBorder="1" applyAlignment="1">
      <alignment horizontal="right" vertical="center"/>
    </xf>
    <xf numFmtId="0" fontId="6" fillId="27" borderId="2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4" fontId="6" fillId="4" borderId="20" xfId="0" applyNumberFormat="1" applyFont="1" applyFill="1" applyBorder="1" applyAlignment="1">
      <alignment horizontal="center" vertical="center" wrapText="1"/>
    </xf>
    <xf numFmtId="44" fontId="6" fillId="4" borderId="1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4" borderId="20" xfId="0" applyNumberFormat="1" applyFont="1" applyFill="1" applyBorder="1" applyAlignment="1">
      <alignment horizontal="center" vertical="center"/>
    </xf>
    <xf numFmtId="2" fontId="6" fillId="4" borderId="1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4" fontId="6" fillId="0" borderId="57" xfId="31" applyNumberFormat="1" applyFont="1" applyBorder="1" applyAlignment="1">
      <alignment horizontal="center" vertical="center" wrapText="1"/>
    </xf>
    <xf numFmtId="4" fontId="6" fillId="0" borderId="60" xfId="31" applyNumberFormat="1" applyFont="1" applyBorder="1" applyAlignment="1">
      <alignment horizontal="center" vertical="center" wrapText="1"/>
    </xf>
    <xf numFmtId="4" fontId="6" fillId="0" borderId="61" xfId="31" applyNumberFormat="1" applyFont="1" applyBorder="1" applyAlignment="1">
      <alignment horizontal="center" vertical="center" wrapText="1"/>
    </xf>
    <xf numFmtId="0" fontId="6" fillId="0" borderId="1" xfId="31" applyFont="1" applyBorder="1" applyAlignment="1">
      <alignment horizontal="center" vertical="center" wrapText="1"/>
    </xf>
    <xf numFmtId="0" fontId="6" fillId="0" borderId="13" xfId="31" applyFont="1" applyBorder="1" applyAlignment="1">
      <alignment horizontal="center" vertical="center" wrapText="1"/>
    </xf>
    <xf numFmtId="0" fontId="6" fillId="0" borderId="67" xfId="31" applyFont="1" applyBorder="1" applyAlignment="1">
      <alignment horizontal="center" vertical="center" wrapText="1"/>
    </xf>
    <xf numFmtId="0" fontId="6" fillId="0" borderId="37" xfId="31" applyFont="1" applyBorder="1" applyAlignment="1">
      <alignment horizontal="center" vertical="center" wrapText="1"/>
    </xf>
    <xf numFmtId="0" fontId="6" fillId="0" borderId="59" xfId="31" applyFont="1" applyBorder="1" applyAlignment="1">
      <alignment horizontal="center" vertical="center" wrapText="1"/>
    </xf>
    <xf numFmtId="0" fontId="6" fillId="0" borderId="14" xfId="31" applyFont="1" applyBorder="1" applyAlignment="1">
      <alignment horizontal="center" vertical="center" wrapText="1"/>
    </xf>
    <xf numFmtId="0" fontId="6" fillId="0" borderId="9" xfId="31" applyFont="1" applyBorder="1" applyAlignment="1">
      <alignment horizontal="center" vertical="center" wrapText="1"/>
    </xf>
  </cellXfs>
  <cellStyles count="89">
    <cellStyle name="20% - Énfasis1 2" xfId="45" xr:uid="{9E798DB3-E405-4916-83FC-20216CE4F260}"/>
    <cellStyle name="20% - Énfasis2 2" xfId="46" xr:uid="{6EC286A6-F865-485C-9FA0-AF8EDC4B4488}"/>
    <cellStyle name="20% - Énfasis3 2" xfId="47" xr:uid="{81620952-28E9-461F-854B-BFECAD25BDA8}"/>
    <cellStyle name="20% - Énfasis4 2" xfId="48" xr:uid="{012F8F1C-A1DB-491A-A045-D32C4119A69E}"/>
    <cellStyle name="20% - Énfasis5 2" xfId="49" xr:uid="{285657B1-1695-4DCB-B0B0-2705D807BB84}"/>
    <cellStyle name="20% - Énfasis6 2" xfId="50" xr:uid="{5184727E-CE1D-4440-9A50-22987B799326}"/>
    <cellStyle name="40% - Énfasis1 2" xfId="51" xr:uid="{D1EC20E2-19DF-4A21-B898-C79B5A30AF0F}"/>
    <cellStyle name="40% - Énfasis2 2" xfId="52" xr:uid="{52B8C6F1-84C4-4119-84B7-7AB953F70E55}"/>
    <cellStyle name="40% - Énfasis3 2" xfId="53" xr:uid="{D7A1F9CC-9EAA-48D5-9408-27B5E089F088}"/>
    <cellStyle name="40% - Énfasis4 2" xfId="54" xr:uid="{2DDE4866-8811-4C66-8359-E3C78D13D9B9}"/>
    <cellStyle name="40% - Énfasis5 2" xfId="55" xr:uid="{96D152CC-341A-4545-B432-58467CAC1795}"/>
    <cellStyle name="40% - Énfasis6 2" xfId="56" xr:uid="{46F4C841-68C4-4D77-AECE-2540D90BD494}"/>
    <cellStyle name="60% - Énfasis1 2" xfId="57" xr:uid="{598C5BD2-BD1B-4C14-BADA-E295635905CC}"/>
    <cellStyle name="60% - Énfasis2 2" xfId="58" xr:uid="{C0290A80-6379-4FEF-8998-BA2AA1D639EF}"/>
    <cellStyle name="60% - Énfasis3 2" xfId="59" xr:uid="{4DBA7829-7F84-4F60-99FC-0411EAAE25B6}"/>
    <cellStyle name="60% - Énfasis4 2" xfId="60" xr:uid="{DD2BD084-A633-4852-9F81-C8915DED7F33}"/>
    <cellStyle name="60% - Énfasis5 2" xfId="61" xr:uid="{06A8288E-FAC8-4783-91AB-2A2A82B707C1}"/>
    <cellStyle name="60% - Énfasis6 2" xfId="62" xr:uid="{8117436C-BAF4-4E88-91CA-7A5FBEA1E9BD}"/>
    <cellStyle name="Buena" xfId="63" xr:uid="{5156A10D-8122-410F-8741-A27E4E929B40}"/>
    <cellStyle name="Cálculo 2" xfId="64" xr:uid="{0A771546-FBF9-4F64-94C2-9621663DC475}"/>
    <cellStyle name="Celda de comprobación 2" xfId="65" xr:uid="{8D5344CA-C9CB-4638-AD02-F6DFD81EA713}"/>
    <cellStyle name="Celda vinculada 2" xfId="66" xr:uid="{3EAC78FE-3D35-400A-9FD9-9D1588E7285F}"/>
    <cellStyle name="Encabezado 4 2" xfId="67" xr:uid="{A268620B-2ACE-4E6E-82F5-B6BA48B9A41B}"/>
    <cellStyle name="Énfasis1 2" xfId="68" xr:uid="{71701A34-1A05-42AB-AC43-ACAE6C1DBE83}"/>
    <cellStyle name="Énfasis2 2" xfId="69" xr:uid="{78EEC1FE-8459-4726-B540-2D60FD82DB9A}"/>
    <cellStyle name="Énfasis3 2" xfId="70" xr:uid="{BD323231-E9FC-4898-8BB9-D4276552E2D8}"/>
    <cellStyle name="Énfasis4 2" xfId="71" xr:uid="{676294E5-BEC6-4C1B-92C6-C5741B71D204}"/>
    <cellStyle name="Énfasis5 2" xfId="72" xr:uid="{79F2EA8D-F95C-454C-A3A5-35CC0910AD52}"/>
    <cellStyle name="Énfasis6 2" xfId="73" xr:uid="{E7D96DC9-403D-4A54-B66C-336A2FADFE52}"/>
    <cellStyle name="Entrada 2" xfId="74" xr:uid="{BA7497EE-0D3C-4492-8DEF-C7C8500A11B2}"/>
    <cellStyle name="Estil 1" xfId="1" xr:uid="{00000000-0005-0000-0000-000001000000}"/>
    <cellStyle name="Euro" xfId="2" xr:uid="{00000000-0005-0000-0000-000002000000}"/>
    <cellStyle name="Euro 2" xfId="3" xr:uid="{00000000-0005-0000-0000-000003000000}"/>
    <cellStyle name="Euro 2 2" xfId="4" xr:uid="{00000000-0005-0000-0000-000004000000}"/>
    <cellStyle name="Euro 2 3" xfId="5" xr:uid="{00000000-0005-0000-0000-000005000000}"/>
    <cellStyle name="Euro 3" xfId="6" xr:uid="{00000000-0005-0000-0000-000006000000}"/>
    <cellStyle name="Euro 3 2" xfId="7" xr:uid="{00000000-0005-0000-0000-000007000000}"/>
    <cellStyle name="Euro 3 3" xfId="8" xr:uid="{00000000-0005-0000-0000-000008000000}"/>
    <cellStyle name="Euro 4" xfId="9" xr:uid="{00000000-0005-0000-0000-000009000000}"/>
    <cellStyle name="Excel Built-in Normal" xfId="10" xr:uid="{00000000-0005-0000-0000-00000A000000}"/>
    <cellStyle name="Incorrecto 2" xfId="75" xr:uid="{390B78CB-5B7A-44EF-A1F8-12CD54D15A2B}"/>
    <cellStyle name="Milers [0] 2" xfId="11" xr:uid="{00000000-0005-0000-0000-00000B000000}"/>
    <cellStyle name="Millares [0] 2" xfId="12" xr:uid="{00000000-0005-0000-0000-00000C000000}"/>
    <cellStyle name="Millares [0] 2 2" xfId="76" xr:uid="{06CB2CFB-39BF-444D-9D34-1B3932761778}"/>
    <cellStyle name="Moneda" xfId="13" builtinId="4"/>
    <cellStyle name="Moneda 2" xfId="14" xr:uid="{00000000-0005-0000-0000-00000D000000}"/>
    <cellStyle name="Neutral 2" xfId="77" xr:uid="{CF5A383D-1C3F-4237-965E-421687E6A4E2}"/>
    <cellStyle name="Normal" xfId="0" builtinId="0"/>
    <cellStyle name="Normal 2" xfId="15" xr:uid="{00000000-0005-0000-0000-00000F000000}"/>
    <cellStyle name="Normal 2 10" xfId="78" xr:uid="{EEB2B8C0-ACD3-4B6D-8F53-B5B4506391B5}"/>
    <cellStyle name="Normal 2 2" xfId="16" xr:uid="{00000000-0005-0000-0000-000010000000}"/>
    <cellStyle name="Normal 2 3" xfId="17" xr:uid="{00000000-0005-0000-0000-000011000000}"/>
    <cellStyle name="Normal 2 4" xfId="18" xr:uid="{00000000-0005-0000-0000-000012000000}"/>
    <cellStyle name="Normal 2 5" xfId="19" xr:uid="{00000000-0005-0000-0000-000013000000}"/>
    <cellStyle name="Normal 2 6" xfId="20" xr:uid="{00000000-0005-0000-0000-000014000000}"/>
    <cellStyle name="Normal 2 7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5 2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al 9" xfId="43" xr:uid="{57230865-5314-4D68-A234-E59B1F55BDDD}"/>
    <cellStyle name="Normal_Hoja1" xfId="32" xr:uid="{00000000-0005-0000-0000-000020000000}"/>
    <cellStyle name="Normal_Hoja1_1" xfId="33" xr:uid="{00000000-0005-0000-0000-000021000000}"/>
    <cellStyle name="Notas 2" xfId="79" xr:uid="{BC733FA0-1B19-4FF8-A221-7709766DBEF7}"/>
    <cellStyle name="Percentual 2" xfId="34" xr:uid="{00000000-0005-0000-0000-000024000000}"/>
    <cellStyle name="Percentual 2 2" xfId="35" xr:uid="{00000000-0005-0000-0000-000025000000}"/>
    <cellStyle name="Percentual 2 3" xfId="36" xr:uid="{00000000-0005-0000-0000-000026000000}"/>
    <cellStyle name="Percentual 3" xfId="37" xr:uid="{00000000-0005-0000-0000-000027000000}"/>
    <cellStyle name="Percentual 4" xfId="38" xr:uid="{00000000-0005-0000-0000-000028000000}"/>
    <cellStyle name="Percentual 5" xfId="39" xr:uid="{00000000-0005-0000-0000-000029000000}"/>
    <cellStyle name="Percentual 6" xfId="40" xr:uid="{00000000-0005-0000-0000-00002A000000}"/>
    <cellStyle name="Porcentaje" xfId="41" builtinId="5"/>
    <cellStyle name="Porcentaje 2" xfId="44" xr:uid="{B652ED70-0CD2-4EAD-995C-77FD0C3FDE22}"/>
    <cellStyle name="Punto0" xfId="42" xr:uid="{00000000-0005-0000-0000-00002B000000}"/>
    <cellStyle name="Punto0 2" xfId="80" xr:uid="{9BCD33E8-7319-4B0D-A86B-94E616185C8C}"/>
    <cellStyle name="Salida 2" xfId="81" xr:uid="{EA376030-2582-4952-B9F5-5251B0AF0ADA}"/>
    <cellStyle name="Texto de advertencia 2" xfId="82" xr:uid="{D771E7F3-8C4B-480D-94D1-93E132FD40F1}"/>
    <cellStyle name="Texto explicativo 2" xfId="83" xr:uid="{A6BC3D0A-C350-4D52-A6E7-A6A33B6B7E1F}"/>
    <cellStyle name="Título 1" xfId="85" xr:uid="{D4D77625-38B4-4C55-B575-113D701DC378}"/>
    <cellStyle name="Título 2 2" xfId="86" xr:uid="{F1D2F1A4-AAFA-4E4D-80F0-929D2115FEF1}"/>
    <cellStyle name="Título 3 2" xfId="87" xr:uid="{DCCA4830-706C-4F61-B1ED-4BCE21AEC675}"/>
    <cellStyle name="Título 4" xfId="84" xr:uid="{C80A1881-2DAA-45BD-9702-A1F7060704B7}"/>
    <cellStyle name="Total 2" xfId="88" xr:uid="{A58E9D31-66FA-4689-A283-8443A5BD977A}"/>
  </cellStyles>
  <dxfs count="0"/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topLeftCell="A4" zoomScale="110" zoomScaleNormal="110" workbookViewId="0">
      <selection activeCell="I5" sqref="I5"/>
    </sheetView>
  </sheetViews>
  <sheetFormatPr baseColWidth="10" defaultColWidth="11.42578125" defaultRowHeight="12.75"/>
  <cols>
    <col min="1" max="1" width="4.140625" style="8" customWidth="1"/>
    <col min="2" max="2" width="75.28515625" style="8" customWidth="1"/>
    <col min="3" max="3" width="16.7109375" style="8" bestFit="1" customWidth="1"/>
    <col min="4" max="4" width="10.140625" style="8" customWidth="1"/>
    <col min="5" max="5" width="16.85546875" style="8" customWidth="1"/>
    <col min="6" max="6" width="8" style="8" customWidth="1"/>
    <col min="7" max="7" width="19.5703125" style="8" customWidth="1"/>
    <col min="8" max="16384" width="11.42578125" style="8"/>
  </cols>
  <sheetData>
    <row r="1" spans="2:7" ht="18.75" thickBot="1">
      <c r="B1" s="369" t="s">
        <v>204</v>
      </c>
      <c r="C1" s="370"/>
      <c r="D1" s="348"/>
    </row>
    <row r="4" spans="2:7" ht="15.75" thickBot="1">
      <c r="D4" s="330"/>
    </row>
    <row r="5" spans="2:7" ht="36.75" customHeight="1" thickBot="1">
      <c r="B5" s="345" t="s">
        <v>205</v>
      </c>
      <c r="C5" s="349"/>
      <c r="D5" s="362" t="s">
        <v>208</v>
      </c>
      <c r="E5" s="356" t="s">
        <v>209</v>
      </c>
      <c r="F5" s="362" t="s">
        <v>207</v>
      </c>
      <c r="G5" s="363" t="s">
        <v>212</v>
      </c>
    </row>
    <row r="6" spans="2:7" ht="37.9" customHeight="1">
      <c r="B6" s="360" t="s">
        <v>210</v>
      </c>
      <c r="C6" s="366">
        <f>'DD alta'!H17</f>
        <v>1868051.2417763053</v>
      </c>
      <c r="D6" s="357">
        <v>5</v>
      </c>
      <c r="E6" s="361">
        <f>1868051.24*D6</f>
        <v>9340256.1999999993</v>
      </c>
      <c r="F6" s="358">
        <v>0.1</v>
      </c>
      <c r="G6" s="359">
        <f>E6+(E6*10%)</f>
        <v>10274281.819999998</v>
      </c>
    </row>
    <row r="7" spans="2:7" ht="28.5">
      <c r="B7" s="350" t="s">
        <v>211</v>
      </c>
      <c r="C7" s="367">
        <v>180000</v>
      </c>
      <c r="D7" s="121">
        <v>5</v>
      </c>
      <c r="E7" s="145">
        <f>C7*D7</f>
        <v>900000</v>
      </c>
      <c r="F7" s="346">
        <v>0.21</v>
      </c>
      <c r="G7" s="347">
        <f>E7+(E7*21%)</f>
        <v>1089000</v>
      </c>
    </row>
    <row r="8" spans="2:7" ht="15" thickBot="1">
      <c r="B8" s="27"/>
      <c r="C8" s="368">
        <f>SUM(C6:C7)</f>
        <v>2048051.2417763053</v>
      </c>
      <c r="D8" s="22"/>
      <c r="E8" s="344">
        <f>SUM(E6:E7)</f>
        <v>10240256.199999999</v>
      </c>
    </row>
    <row r="9" spans="2:7" ht="20.25" customHeight="1" thickBot="1">
      <c r="B9" s="355" t="s">
        <v>206</v>
      </c>
      <c r="C9" s="374">
        <f>G6+G7</f>
        <v>11363281.819999998</v>
      </c>
      <c r="D9" s="375"/>
      <c r="E9" s="375"/>
      <c r="F9" s="375"/>
      <c r="G9" s="376"/>
    </row>
    <row r="10" spans="2:7">
      <c r="B10" s="371" t="s">
        <v>89</v>
      </c>
      <c r="C10" s="371"/>
      <c r="D10" s="184"/>
    </row>
    <row r="11" spans="2:7">
      <c r="B11" s="184"/>
      <c r="C11" s="184"/>
      <c r="D11" s="184"/>
    </row>
    <row r="12" spans="2:7">
      <c r="B12" s="184"/>
      <c r="C12" s="184"/>
      <c r="D12" s="184"/>
    </row>
    <row r="13" spans="2:7" ht="15">
      <c r="B13" s="184"/>
      <c r="C13" s="365"/>
      <c r="D13" s="28"/>
      <c r="E13" s="5"/>
      <c r="F13" s="5"/>
    </row>
    <row r="14" spans="2:7" ht="14.25">
      <c r="B14" s="331"/>
      <c r="C14" s="339"/>
      <c r="D14" s="351"/>
      <c r="E14" s="352"/>
      <c r="F14" s="344"/>
    </row>
    <row r="15" spans="2:7" ht="14.25">
      <c r="B15" s="353"/>
      <c r="C15" s="339"/>
      <c r="D15" s="351"/>
      <c r="E15" s="352"/>
      <c r="F15" s="344"/>
    </row>
    <row r="16" spans="2:7" ht="14.25">
      <c r="B16" s="331"/>
      <c r="C16" s="332"/>
      <c r="D16" s="333"/>
      <c r="F16" s="354"/>
    </row>
    <row r="17" spans="2:7" ht="14.25">
      <c r="B17" s="27"/>
      <c r="C17" s="332"/>
      <c r="D17" s="333"/>
    </row>
    <row r="18" spans="2:7" ht="15">
      <c r="B18" s="334"/>
      <c r="C18" s="335"/>
      <c r="D18" s="62"/>
    </row>
    <row r="19" spans="2:7" ht="14.25">
      <c r="B19" s="331"/>
      <c r="C19" s="332"/>
      <c r="D19" s="333"/>
    </row>
    <row r="20" spans="2:7" ht="34.9" customHeight="1">
      <c r="B20" s="27"/>
      <c r="C20" s="336"/>
      <c r="D20" s="337"/>
    </row>
    <row r="21" spans="2:7" ht="14.25">
      <c r="B21" s="22"/>
      <c r="C21" s="22"/>
      <c r="D21" s="22"/>
    </row>
    <row r="22" spans="2:7" ht="14.25">
      <c r="B22" s="22"/>
      <c r="C22" s="22"/>
      <c r="D22" s="22"/>
    </row>
    <row r="23" spans="2:7" ht="15">
      <c r="B23" s="373"/>
      <c r="C23" s="373"/>
      <c r="D23" s="373"/>
      <c r="E23" s="373"/>
      <c r="F23" s="373"/>
      <c r="G23" s="373"/>
    </row>
    <row r="24" spans="2:7" ht="15">
      <c r="B24" s="28"/>
      <c r="C24" s="330"/>
      <c r="D24" s="330"/>
      <c r="E24" s="28"/>
      <c r="F24" s="330"/>
      <c r="G24" s="28"/>
    </row>
    <row r="25" spans="2:7" ht="14.25">
      <c r="B25" s="338"/>
      <c r="C25" s="339"/>
      <c r="D25" s="333"/>
      <c r="E25" s="340"/>
      <c r="F25" s="341"/>
      <c r="G25" s="340"/>
    </row>
    <row r="26" spans="2:7" ht="14.25">
      <c r="B26" s="338"/>
      <c r="C26" s="339"/>
      <c r="D26" s="333"/>
      <c r="E26" s="342"/>
      <c r="F26" s="341"/>
      <c r="G26" s="340"/>
    </row>
    <row r="27" spans="2:7" ht="14.25">
      <c r="B27" s="338"/>
      <c r="D27" s="333"/>
      <c r="E27" s="339"/>
      <c r="F27" s="341"/>
      <c r="G27" s="340"/>
    </row>
    <row r="28" spans="2:7" ht="15">
      <c r="B28" s="372"/>
      <c r="C28" s="372"/>
      <c r="D28" s="333"/>
      <c r="E28" s="343"/>
      <c r="F28" s="62"/>
      <c r="G28" s="343"/>
    </row>
    <row r="30" spans="2:7">
      <c r="G30" s="344"/>
    </row>
    <row r="31" spans="2:7">
      <c r="C31" s="344"/>
      <c r="E31" s="344"/>
      <c r="G31" s="344"/>
    </row>
  </sheetData>
  <mergeCells count="5">
    <mergeCell ref="B1:C1"/>
    <mergeCell ref="B10:C10"/>
    <mergeCell ref="B28:C28"/>
    <mergeCell ref="B23:G23"/>
    <mergeCell ref="C9:G9"/>
  </mergeCells>
  <phoneticPr fontId="1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T29"/>
  <sheetViews>
    <sheetView workbookViewId="0">
      <selection activeCell="N10" sqref="N10"/>
    </sheetView>
  </sheetViews>
  <sheetFormatPr baseColWidth="10" defaultColWidth="9.140625" defaultRowHeight="12.75"/>
  <cols>
    <col min="1" max="1" width="3" style="269" customWidth="1"/>
    <col min="2" max="2" width="23.7109375" style="269" bestFit="1" customWidth="1"/>
    <col min="3" max="3" width="11.85546875" style="269" bestFit="1" customWidth="1"/>
    <col min="4" max="4" width="12.28515625" style="269" customWidth="1"/>
    <col min="5" max="9" width="12" style="269" customWidth="1"/>
    <col min="10" max="11" width="11.28515625" style="269" customWidth="1"/>
    <col min="12" max="12" width="13.140625" style="269" customWidth="1"/>
    <col min="13" max="13" width="10.28515625" style="269" customWidth="1"/>
    <col min="14" max="19" width="13.7109375" style="269" customWidth="1"/>
    <col min="20" max="20" width="11.7109375" style="269" bestFit="1" customWidth="1"/>
    <col min="21" max="16384" width="9.140625" style="269"/>
  </cols>
  <sheetData>
    <row r="1" spans="2:20" ht="13.5" thickBot="1"/>
    <row r="2" spans="2:20" ht="50.45" customHeight="1" thickBot="1">
      <c r="B2" s="279" t="s">
        <v>195</v>
      </c>
      <c r="C2" s="280" t="s">
        <v>124</v>
      </c>
      <c r="D2" s="281" t="s">
        <v>125</v>
      </c>
      <c r="E2" s="270"/>
    </row>
    <row r="3" spans="2:20">
      <c r="B3" s="282" t="s">
        <v>135</v>
      </c>
      <c r="C3" s="283">
        <v>0.03</v>
      </c>
      <c r="D3" s="284">
        <f>(((1+C3)+((1+C3)*(1+C3))+((1+C3)*(1+C3)*(1+C3))+((1+C3)*(1+C3)*(1+C3)*(1+C3))+((1+C3)*(1+C3)*(1+C3)*(1+C3)*(1+C3)))/5)-1</f>
        <v>9.3681976859999905E-2</v>
      </c>
      <c r="E3" s="270"/>
    </row>
    <row r="4" spans="2:20">
      <c r="B4" s="285" t="s">
        <v>114</v>
      </c>
      <c r="C4" s="271">
        <v>0.03</v>
      </c>
      <c r="D4" s="286">
        <f>(((1+C4)+((1+C4)*(1+C4))+((1+C4)*(1+C4)*(1+C4))+((1+C4)*(1+C4)*(1+C4)*(1+C4))+((1+C4)*(1+C4)*(1+C4)*(1+C4)*(1+C4)))/5)-1</f>
        <v>9.3681976859999905E-2</v>
      </c>
      <c r="E4" s="272"/>
    </row>
    <row r="5" spans="2:20" ht="13.5" thickBot="1">
      <c r="B5" s="287" t="s">
        <v>113</v>
      </c>
      <c r="C5" s="288">
        <v>0.02</v>
      </c>
      <c r="D5" s="213">
        <f>(((1+C5)+((1+C5)*(1+C5))+((1+C5)*(1+C5)*(1+C5))+((1+C5)*(1+C5)*(1+C5)*(1+C5))+((1+C5)*(1+C5)*(1+C5)*(1+C5)*(1+C5)))/5)-1</f>
        <v>6.1624192640000075E-2</v>
      </c>
      <c r="E5" s="272"/>
    </row>
    <row r="6" spans="2:20" ht="13.5" thickBot="1"/>
    <row r="7" spans="2:20" ht="15.75" customHeight="1" thickBot="1">
      <c r="B7" s="445" t="s">
        <v>194</v>
      </c>
      <c r="C7" s="466" t="s">
        <v>134</v>
      </c>
      <c r="D7" s="471" t="s">
        <v>88</v>
      </c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3"/>
    </row>
    <row r="8" spans="2:20" ht="21" customHeight="1">
      <c r="B8" s="446"/>
      <c r="C8" s="467"/>
      <c r="D8" s="469" t="s">
        <v>132</v>
      </c>
      <c r="E8" s="470"/>
      <c r="F8" s="470"/>
      <c r="G8" s="470"/>
      <c r="H8" s="470"/>
      <c r="I8" s="470"/>
      <c r="J8" s="470"/>
      <c r="K8" s="470"/>
      <c r="L8" s="470"/>
      <c r="M8" s="474" t="s">
        <v>196</v>
      </c>
      <c r="N8" s="469" t="s">
        <v>133</v>
      </c>
      <c r="O8" s="470"/>
      <c r="P8" s="470"/>
      <c r="Q8" s="470"/>
      <c r="R8" s="470"/>
      <c r="S8" s="474" t="s">
        <v>198</v>
      </c>
    </row>
    <row r="9" spans="2:20" ht="73.900000000000006" customHeight="1" thickBot="1">
      <c r="B9" s="447"/>
      <c r="C9" s="468"/>
      <c r="D9" s="310" t="s">
        <v>9</v>
      </c>
      <c r="E9" s="273" t="s">
        <v>95</v>
      </c>
      <c r="F9" s="273" t="s">
        <v>10</v>
      </c>
      <c r="G9" s="273" t="s">
        <v>11</v>
      </c>
      <c r="H9" s="273" t="s">
        <v>12</v>
      </c>
      <c r="I9" s="273" t="s">
        <v>13</v>
      </c>
      <c r="J9" s="273" t="s">
        <v>191</v>
      </c>
      <c r="K9" s="273" t="s">
        <v>190</v>
      </c>
      <c r="L9" s="273" t="s">
        <v>197</v>
      </c>
      <c r="M9" s="475"/>
      <c r="N9" s="311" t="s">
        <v>96</v>
      </c>
      <c r="O9" s="274" t="s">
        <v>14</v>
      </c>
      <c r="P9" s="274" t="s">
        <v>15</v>
      </c>
      <c r="Q9" s="275" t="s">
        <v>16</v>
      </c>
      <c r="R9" s="273" t="s">
        <v>197</v>
      </c>
      <c r="S9" s="475"/>
    </row>
    <row r="10" spans="2:20">
      <c r="B10" s="301" t="s">
        <v>75</v>
      </c>
      <c r="C10" s="303">
        <f>'Mitjanes cabals'!G6*12/1000</f>
        <v>1095.0630000000001</v>
      </c>
      <c r="D10" s="298">
        <f>'Personal general'!C36</f>
        <v>132456.7147609457</v>
      </c>
      <c r="E10" s="289">
        <f>Energia!C19*(1+$D$3)</f>
        <v>6626.2327810964625</v>
      </c>
      <c r="F10" s="289">
        <f>'Costos materials'!C4*(1+$D$4)</f>
        <v>65064.73757908761</v>
      </c>
      <c r="G10" s="289">
        <f>'Costos materials'!D4*(1+$D$4)</f>
        <v>3548.2980584455095</v>
      </c>
      <c r="H10" s="289">
        <f>'Costos materials'!E4*(1+$D$4)</f>
        <v>35284.367937457318</v>
      </c>
      <c r="I10" s="289">
        <f>'Costos materials'!F4*(1+$D$4)</f>
        <v>1454.5970292237998</v>
      </c>
      <c r="J10" s="289">
        <f>'Actuacions necessàries'!C15</f>
        <v>15883.084800000001</v>
      </c>
      <c r="K10" s="289">
        <f>($D$4+1)*'Altres conceptes'!C16</f>
        <v>24699.713765406239</v>
      </c>
      <c r="L10" s="294">
        <f>SUM(D10:K10)</f>
        <v>285017.74671166262</v>
      </c>
      <c r="M10" s="307">
        <f>L10/365</f>
        <v>780.87053893606196</v>
      </c>
      <c r="N10" s="298">
        <f>Energia!D19*(1+$D$3)</f>
        <v>104953.22228181156</v>
      </c>
      <c r="O10" s="289">
        <f>('Fangs i reactius'!H8+'Fangs i reactius'!I8)*(1+$D$4)</f>
        <v>6156.3216298792395</v>
      </c>
      <c r="P10" s="289">
        <f>'Costos materials'!G4*(1+$D$4)</f>
        <v>2756.0785816871999</v>
      </c>
      <c r="Q10" s="289">
        <f>'Fangs i reactius'!G8*(1+$D$5)</f>
        <v>32966.025083249355</v>
      </c>
      <c r="R10" s="294">
        <f>SUM(N10:Q10)</f>
        <v>146831.64757662735</v>
      </c>
      <c r="S10" s="307">
        <f>R10/C10</f>
        <v>134.08511435107144</v>
      </c>
      <c r="T10" s="313"/>
    </row>
    <row r="11" spans="2:20">
      <c r="B11" s="302" t="s">
        <v>76</v>
      </c>
      <c r="C11" s="304">
        <f>'Mitjanes cabals'!G7*12/1000</f>
        <v>743.14499999999998</v>
      </c>
      <c r="D11" s="299">
        <f>'Personal general'!C37</f>
        <v>103263.72902734032</v>
      </c>
      <c r="E11" s="290">
        <f>Energia!C20*(1+$D$3)</f>
        <v>4522.2232700418908</v>
      </c>
      <c r="F11" s="290">
        <f>'Costos materials'!C5*(1+$D$4)</f>
        <v>46939.560682056057</v>
      </c>
      <c r="G11" s="290">
        <f>'Costos materials'!D5*(1+$D$4)</f>
        <v>2559.8435993071175</v>
      </c>
      <c r="H11" s="290">
        <f>'Costos materials'!E5*(1+$D$4)</f>
        <v>27869.204134346517</v>
      </c>
      <c r="I11" s="290">
        <f>'Costos materials'!F5*(1+$D$4)</f>
        <v>1126.4924361658</v>
      </c>
      <c r="J11" s="291">
        <f>'Actuacions necessàries'!C16</f>
        <v>9179.5424000000003</v>
      </c>
      <c r="K11" s="291">
        <f>($D$4+1)*'Altres conceptes'!C17</f>
        <v>12349.856882703119</v>
      </c>
      <c r="L11" s="295">
        <f t="shared" ref="L11:L17" si="0">SUM(D11:K11)</f>
        <v>207810.45243196082</v>
      </c>
      <c r="M11" s="308">
        <f t="shared" ref="M11:M17" si="1">L11/365</f>
        <v>569.34370529304329</v>
      </c>
      <c r="N11" s="299">
        <f>Energia!D20*(1+$D$3)</f>
        <v>103061.37119823913</v>
      </c>
      <c r="O11" s="290">
        <f>('Fangs i reactius'!H9+'Fangs i reactius'!I9)*(1+$D$4)</f>
        <v>6691.2557026271661</v>
      </c>
      <c r="P11" s="290">
        <f>'Costos materials'!G5*(1+$D$4)</f>
        <v>1988.3138339314798</v>
      </c>
      <c r="Q11" s="290">
        <f>'Fangs i reactius'!G9*(1+$D$5)</f>
        <v>27374.453999361776</v>
      </c>
      <c r="R11" s="297">
        <f t="shared" ref="R11:R17" si="2">SUM(N11:Q11)</f>
        <v>139115.39473415955</v>
      </c>
      <c r="S11" s="308">
        <f t="shared" ref="S11:S17" si="3">R11/C11</f>
        <v>187.19818438415055</v>
      </c>
      <c r="T11" s="313"/>
    </row>
    <row r="12" spans="2:20" ht="15" customHeight="1">
      <c r="B12" s="302" t="s">
        <v>77</v>
      </c>
      <c r="C12" s="304">
        <f>'Mitjanes cabals'!G8*12/1000</f>
        <v>288.62700000000001</v>
      </c>
      <c r="D12" s="299">
        <f>'Personal general'!C38</f>
        <v>119996.55855966776</v>
      </c>
      <c r="E12" s="290">
        <f>Energia!C21*(1+$D$3)</f>
        <v>4940.7330265096889</v>
      </c>
      <c r="F12" s="290">
        <f>'Costos materials'!C6*(1+$D$4)</f>
        <v>26490.643157199956</v>
      </c>
      <c r="G12" s="290">
        <f>'Costos materials'!D6*(1+$D$4)</f>
        <v>1444.6642095099576</v>
      </c>
      <c r="H12" s="290">
        <f>'Costos materials'!E6*(1+$D$4)</f>
        <v>12005.347059992218</v>
      </c>
      <c r="I12" s="290">
        <f>'Costos materials'!F6*(1+$D$4)</f>
        <v>869.47717160369996</v>
      </c>
      <c r="J12" s="291">
        <f>'Actuacions necessàries'!C17</f>
        <v>10588.7232</v>
      </c>
      <c r="K12" s="291">
        <f>($D$4+1)*'Altres conceptes'!C18</f>
        <v>16466.475843604159</v>
      </c>
      <c r="L12" s="295">
        <f t="shared" si="0"/>
        <v>192802.62222808745</v>
      </c>
      <c r="M12" s="308">
        <f t="shared" si="1"/>
        <v>528.22636226873271</v>
      </c>
      <c r="N12" s="299">
        <f>Energia!D21*(1+$D$3)</f>
        <v>53661.068721845149</v>
      </c>
      <c r="O12" s="290">
        <f>('Fangs i reactius'!H10+'Fangs i reactius'!I10)*(1+$D$4)</f>
        <v>7300.3271955404998</v>
      </c>
      <c r="P12" s="290">
        <f>'Costos materials'!G6*(1+$D$4)</f>
        <v>1122.1177082583599</v>
      </c>
      <c r="Q12" s="290">
        <f>'Fangs i reactius'!G10*(1+$D$5)</f>
        <v>16378.18599946975</v>
      </c>
      <c r="R12" s="297">
        <f t="shared" si="2"/>
        <v>78461.699625113761</v>
      </c>
      <c r="S12" s="308">
        <f t="shared" si="3"/>
        <v>271.84462862141714</v>
      </c>
      <c r="T12" s="313"/>
    </row>
    <row r="13" spans="2:20">
      <c r="B13" s="302" t="s">
        <v>78</v>
      </c>
      <c r="C13" s="304">
        <f>'Mitjanes cabals'!G9*12/1000</f>
        <v>182.976</v>
      </c>
      <c r="D13" s="299">
        <f>'Personal general'!C39</f>
        <v>52922.23933325446</v>
      </c>
      <c r="E13" s="290">
        <f>Energia!C22*(1+$D$3)</f>
        <v>1674.1677981039525</v>
      </c>
      <c r="F13" s="290">
        <f>'Costos materials'!C7*(1+$D$4)</f>
        <v>17660.428771466635</v>
      </c>
      <c r="G13" s="290">
        <f>'Costos materials'!D7*(1+$D$4)</f>
        <v>963.10947300663815</v>
      </c>
      <c r="H13" s="290">
        <f>'Costos materials'!E7*(1+$D$4)</f>
        <v>7731.2378944233396</v>
      </c>
      <c r="I13" s="290">
        <f>'Costos materials'!F7*(1+$D$4)</f>
        <v>869.47717160369996</v>
      </c>
      <c r="J13" s="291">
        <f>'Actuacions necessàries'!C18</f>
        <v>6272.3616000000002</v>
      </c>
      <c r="K13" s="291">
        <f>($D$4+1)*'Altres conceptes'!C19</f>
        <v>8233.2379218020797</v>
      </c>
      <c r="L13" s="295">
        <f t="shared" si="0"/>
        <v>96326.259963660821</v>
      </c>
      <c r="M13" s="308">
        <f t="shared" si="1"/>
        <v>263.90756154427623</v>
      </c>
      <c r="N13" s="299">
        <f>Energia!D22*(1+$D$3)</f>
        <v>23945.948146954328</v>
      </c>
      <c r="O13" s="290">
        <f>('Fangs i reactius'!H11+'Fangs i reactius'!I11)*(1+$D$4)</f>
        <v>554.49676226802001</v>
      </c>
      <c r="P13" s="290">
        <f>'Costos materials'!G7*(1+$D$4)</f>
        <v>748.07847217223991</v>
      </c>
      <c r="Q13" s="290">
        <f>'Fangs i reactius'!G11*(1+$D$5)</f>
        <v>2993.7589907609477</v>
      </c>
      <c r="R13" s="297">
        <f t="shared" si="2"/>
        <v>28242.282372155536</v>
      </c>
      <c r="S13" s="308">
        <f t="shared" si="3"/>
        <v>154.34965444733481</v>
      </c>
      <c r="T13" s="313"/>
    </row>
    <row r="14" spans="2:20">
      <c r="B14" s="302" t="s">
        <v>79</v>
      </c>
      <c r="C14" s="304">
        <f>'Mitjanes cabals'!G10*12/1000</f>
        <v>119.556</v>
      </c>
      <c r="D14" s="299">
        <f>'Personal general'!C40</f>
        <v>34837.616151624767</v>
      </c>
      <c r="E14" s="290">
        <f>Energia!C23*(1+$D$3)</f>
        <v>1305.1065790157343</v>
      </c>
      <c r="F14" s="290">
        <f>'Costos materials'!C8*(1+$D$4)</f>
        <v>15801.43626920699</v>
      </c>
      <c r="G14" s="290">
        <f>'Costos materials'!D8*(1+$D$4)</f>
        <v>861.72952847962358</v>
      </c>
      <c r="H14" s="290">
        <f>'Costos materials'!E8*(1+$D$4)</f>
        <v>7567.1855978943395</v>
      </c>
      <c r="I14" s="290">
        <f>'Costos materials'!F8*(1+$D$4)</f>
        <v>907.75604079379991</v>
      </c>
      <c r="J14" s="291">
        <f>'Actuacions necessàries'!C19</f>
        <v>2647.1808000000001</v>
      </c>
      <c r="K14" s="291">
        <f>($D$4+1)*'Altres conceptes'!C20</f>
        <v>4116.6189609010398</v>
      </c>
      <c r="L14" s="295">
        <f t="shared" si="0"/>
        <v>68044.629927916307</v>
      </c>
      <c r="M14" s="308">
        <f t="shared" si="1"/>
        <v>186.42364363812686</v>
      </c>
      <c r="N14" s="299">
        <f>Energia!D23*(1+$D$3)</f>
        <v>16281.206116724075</v>
      </c>
      <c r="O14" s="290">
        <f>('Fangs i reactius'!H12+'Fangs i reactius'!I12)*(1+$D$4)</f>
        <v>816.81638441789096</v>
      </c>
      <c r="P14" s="290">
        <f>'Costos materials'!G8*(1+$D$4)</f>
        <v>669.33336983831998</v>
      </c>
      <c r="Q14" s="290">
        <f>'Fangs i reactius'!G12*(1+$D$5)</f>
        <v>4633.4057075676483</v>
      </c>
      <c r="R14" s="297">
        <f t="shared" si="2"/>
        <v>22400.761578547936</v>
      </c>
      <c r="S14" s="308">
        <f t="shared" si="3"/>
        <v>187.36626834745169</v>
      </c>
      <c r="T14" s="313"/>
    </row>
    <row r="15" spans="2:20">
      <c r="B15" s="302" t="s">
        <v>83</v>
      </c>
      <c r="C15" s="304">
        <f>'Mitjanes cabals'!G11*12/1000</f>
        <v>312.315</v>
      </c>
      <c r="D15" s="299">
        <f>'Personal general'!C41</f>
        <v>44209.097286716962</v>
      </c>
      <c r="E15" s="290">
        <f>Energia!C24*(1+$D$3)</f>
        <v>1318.4988912227038</v>
      </c>
      <c r="F15" s="290">
        <f>'Costos materials'!C9*(1+$D$4)</f>
        <v>18589.925022596461</v>
      </c>
      <c r="G15" s="290">
        <f>'Costos materials'!D9*(1+$D$4)</f>
        <v>1013.7994452701455</v>
      </c>
      <c r="H15" s="290">
        <f>'Costos materials'!E9*(1+$D$4)</f>
        <v>8528.5320555542785</v>
      </c>
      <c r="I15" s="290">
        <f>'Costos materials'!F9*(1+$D$4)</f>
        <v>1126.4924361658</v>
      </c>
      <c r="J15" s="291">
        <f>'Actuacions necessàries'!C20</f>
        <v>9886.3616000000002</v>
      </c>
      <c r="K15" s="291">
        <f>($D$4+1)*'Altres conceptes'!C21</f>
        <v>8233.2379218020797</v>
      </c>
      <c r="L15" s="295">
        <f t="shared" si="0"/>
        <v>92905.944659328437</v>
      </c>
      <c r="M15" s="308">
        <f t="shared" si="1"/>
        <v>254.5368346830916</v>
      </c>
      <c r="N15" s="299">
        <f>Energia!D24*(1+$D$3)</f>
        <v>34736.433267050459</v>
      </c>
      <c r="O15" s="290">
        <f>('Fangs i reactius'!H13+'Fangs i reactius'!I13)*(1+$D$4)</f>
        <v>0</v>
      </c>
      <c r="P15" s="290">
        <f>'Costos materials'!G9*(1+$D$4)</f>
        <v>787.45102333919988</v>
      </c>
      <c r="Q15" s="290">
        <f>'Fangs i reactius'!G13*(1+$D$5)</f>
        <v>17442.485485075202</v>
      </c>
      <c r="R15" s="297">
        <f t="shared" si="2"/>
        <v>52966.36977546486</v>
      </c>
      <c r="S15" s="308">
        <f t="shared" si="3"/>
        <v>169.59278220855501</v>
      </c>
      <c r="T15" s="313"/>
    </row>
    <row r="16" spans="2:20">
      <c r="B16" s="302" t="s">
        <v>25</v>
      </c>
      <c r="C16" s="304">
        <f>'Mitjanes cabals'!G12*12/1000</f>
        <v>112.64100000000001</v>
      </c>
      <c r="D16" s="299">
        <f>'Personal general'!C42</f>
        <v>38419.710272459241</v>
      </c>
      <c r="E16" s="290">
        <f>Energia!C25*(1+$D$3)</f>
        <v>711.72413046077588</v>
      </c>
      <c r="F16" s="290">
        <f>'Costos materials'!C10*(1+$D$4)</f>
        <v>10689.206887992965</v>
      </c>
      <c r="G16" s="290">
        <f>'Costos materials'!D10*(1+$D$4)</f>
        <v>582.93468103033365</v>
      </c>
      <c r="H16" s="290">
        <f>'Costos materials'!E10*(1+$D$4)</f>
        <v>5374.3532342900398</v>
      </c>
      <c r="I16" s="290">
        <f>'Costos materials'!F10*(1+$D$4)</f>
        <v>869.47717160369996</v>
      </c>
      <c r="J16" s="291">
        <f>'Actuacions necessàries'!C21</f>
        <v>3625.1808000000001</v>
      </c>
      <c r="K16" s="291">
        <f>($D$4+1)*'Altres conceptes'!C22</f>
        <v>4116.6189609010398</v>
      </c>
      <c r="L16" s="295">
        <f t="shared" si="0"/>
        <v>64389.206138738096</v>
      </c>
      <c r="M16" s="308">
        <f t="shared" si="1"/>
        <v>176.4087839417482</v>
      </c>
      <c r="N16" s="299">
        <f>Energia!D25*(1+$D$3)</f>
        <v>18972.538725381164</v>
      </c>
      <c r="O16" s="290">
        <f>('Fangs i reactius'!H14+'Fangs i reactius'!I14)*(1+$D$4)</f>
        <v>0</v>
      </c>
      <c r="P16" s="290">
        <f>'Costos materials'!G10*(1+$D$4)</f>
        <v>452.78433842003994</v>
      </c>
      <c r="Q16" s="290">
        <f>'Fangs i reactius'!G14*(1+$D$5)</f>
        <v>2336.63484800064</v>
      </c>
      <c r="R16" s="297">
        <f t="shared" si="2"/>
        <v>21761.957911801845</v>
      </c>
      <c r="S16" s="308">
        <f t="shared" si="3"/>
        <v>193.1974850347728</v>
      </c>
      <c r="T16" s="313"/>
    </row>
    <row r="17" spans="2:20" ht="13.5" thickBot="1">
      <c r="B17" s="306" t="s">
        <v>84</v>
      </c>
      <c r="C17" s="305">
        <f>'Mitjanes cabals'!G13*12/1000</f>
        <v>113.86799999999999</v>
      </c>
      <c r="D17" s="300">
        <f>'Personal general'!C43</f>
        <v>31410.013211334775</v>
      </c>
      <c r="E17" s="292">
        <f>Energia!C26*(1+$D$3)</f>
        <v>487.78921769231391</v>
      </c>
      <c r="F17" s="292">
        <f>'Costos materials'!C11*(1+$D$4)</f>
        <v>13477.695641382432</v>
      </c>
      <c r="G17" s="292">
        <f>'Costos materials'!D11*(1+$D$4)</f>
        <v>735.00459782085545</v>
      </c>
      <c r="H17" s="292">
        <f>'Costos materials'!E11*(1+$D$4)</f>
        <v>4695.17672665998</v>
      </c>
      <c r="I17" s="292">
        <f>'Costos materials'!F11*(1+$D$4)</f>
        <v>1126.4924361658</v>
      </c>
      <c r="J17" s="293">
        <f>'Actuacions necessàries'!C22</f>
        <v>2647.1808000000001</v>
      </c>
      <c r="K17" s="293">
        <f>($D$4+1)*'Altres conceptes'!C23</f>
        <v>4116.6189609010398</v>
      </c>
      <c r="L17" s="296">
        <f t="shared" si="0"/>
        <v>58695.971591957197</v>
      </c>
      <c r="M17" s="309">
        <f t="shared" si="1"/>
        <v>160.81088107385534</v>
      </c>
      <c r="N17" s="300">
        <f>Energia!D26*(1+$D$3)</f>
        <v>8378.9163611198328</v>
      </c>
      <c r="O17" s="292">
        <f>('Fangs i reactius'!H15+'Fangs i reactius'!I15)*(1+$D$4)</f>
        <v>0</v>
      </c>
      <c r="P17" s="292">
        <f>'Costos materials'!G11*(1+$D$4)</f>
        <v>570.90199192091995</v>
      </c>
      <c r="Q17" s="292">
        <f>'Fangs i reactius'!G15*(1+$D$5)</f>
        <v>5068.1938956633603</v>
      </c>
      <c r="R17" s="312">
        <f t="shared" si="2"/>
        <v>14018.012248704114</v>
      </c>
      <c r="S17" s="309">
        <f t="shared" si="3"/>
        <v>123.10756532743277</v>
      </c>
      <c r="T17" s="313"/>
    </row>
    <row r="18" spans="2:20"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</row>
    <row r="19" spans="2:20">
      <c r="D19" s="297">
        <f>SUM(D10:D18)</f>
        <v>557515.67860334401</v>
      </c>
      <c r="E19" s="297">
        <f t="shared" ref="E19:R19" si="4">SUM(E10:E18)</f>
        <v>21586.475694143523</v>
      </c>
      <c r="F19" s="297">
        <f t="shared" si="4"/>
        <v>214713.6340109891</v>
      </c>
      <c r="G19" s="297">
        <f t="shared" si="4"/>
        <v>11709.383592870181</v>
      </c>
      <c r="H19" s="297">
        <f t="shared" si="4"/>
        <v>109055.40464061801</v>
      </c>
      <c r="I19" s="297">
        <f t="shared" si="4"/>
        <v>8350.2618933261001</v>
      </c>
      <c r="J19" s="297">
        <f t="shared" si="4"/>
        <v>60729.616000000009</v>
      </c>
      <c r="K19" s="297">
        <f t="shared" si="4"/>
        <v>82332.379218020797</v>
      </c>
      <c r="L19" s="297">
        <f t="shared" si="4"/>
        <v>1065992.8336533117</v>
      </c>
      <c r="M19" s="276">
        <f t="shared" si="4"/>
        <v>2920.528311378936</v>
      </c>
      <c r="N19" s="276">
        <f t="shared" si="4"/>
        <v>363990.70481912571</v>
      </c>
      <c r="O19" s="276">
        <f t="shared" si="4"/>
        <v>21519.217674732819</v>
      </c>
      <c r="P19" s="276">
        <f t="shared" si="4"/>
        <v>9095.0593195677611</v>
      </c>
      <c r="Q19" s="276">
        <f t="shared" si="4"/>
        <v>109193.14400914867</v>
      </c>
      <c r="R19" s="276">
        <f t="shared" si="4"/>
        <v>503798.12582257495</v>
      </c>
      <c r="S19" s="277"/>
    </row>
    <row r="21" spans="2:20">
      <c r="L21" s="278"/>
    </row>
    <row r="22" spans="2:20">
      <c r="E22" s="313"/>
    </row>
    <row r="23" spans="2:20">
      <c r="D23" s="313"/>
      <c r="E23" s="313"/>
    </row>
    <row r="24" spans="2:20">
      <c r="E24" s="313"/>
    </row>
    <row r="25" spans="2:20">
      <c r="E25" s="313"/>
    </row>
    <row r="26" spans="2:20">
      <c r="E26" s="313"/>
    </row>
    <row r="27" spans="2:20">
      <c r="E27" s="313"/>
    </row>
    <row r="28" spans="2:20">
      <c r="E28" s="313"/>
    </row>
    <row r="29" spans="2:20">
      <c r="E29" s="313"/>
    </row>
  </sheetData>
  <mergeCells count="7">
    <mergeCell ref="B7:B9"/>
    <mergeCell ref="C7:C9"/>
    <mergeCell ref="D8:L8"/>
    <mergeCell ref="D7:S7"/>
    <mergeCell ref="N8:R8"/>
    <mergeCell ref="M8:M9"/>
    <mergeCell ref="S8:S9"/>
  </mergeCells>
  <phoneticPr fontId="0" type="noConversion"/>
  <pageMargins left="0.51181102362204722" right="0.51181102362204722" top="0.35433070866141736" bottom="0.35433070866141736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26"/>
  <sheetViews>
    <sheetView zoomScale="82" zoomScaleNormal="80" workbookViewId="0">
      <selection activeCell="N13" sqref="N13"/>
    </sheetView>
  </sheetViews>
  <sheetFormatPr baseColWidth="10" defaultColWidth="11.42578125" defaultRowHeight="12.75"/>
  <cols>
    <col min="1" max="1" width="5" style="8" customWidth="1"/>
    <col min="2" max="2" width="28.5703125" style="8" bestFit="1" customWidth="1"/>
    <col min="3" max="6" width="12.42578125" style="8" customWidth="1"/>
    <col min="7" max="7" width="12.42578125" style="158" customWidth="1"/>
    <col min="8" max="8" width="23" style="8" customWidth="1"/>
    <col min="9" max="9" width="2.85546875" style="8" customWidth="1"/>
    <col min="10" max="10" width="8.7109375" style="8" customWidth="1"/>
    <col min="11" max="11" width="28.42578125" style="8" bestFit="1" customWidth="1"/>
    <col min="12" max="14" width="15.140625" style="8" customWidth="1"/>
    <col min="15" max="16384" width="11.42578125" style="8"/>
  </cols>
  <sheetData>
    <row r="1" spans="2:14" ht="15.75" thickBot="1">
      <c r="B1" s="28"/>
      <c r="C1" s="28"/>
    </row>
    <row r="2" spans="2:14" ht="37.5" customHeight="1">
      <c r="B2" s="383" t="s">
        <v>3</v>
      </c>
      <c r="C2" s="400" t="s">
        <v>157</v>
      </c>
      <c r="D2" s="401"/>
      <c r="E2" s="401"/>
      <c r="F2" s="401"/>
      <c r="G2" s="401"/>
      <c r="H2" s="388" t="s">
        <v>86</v>
      </c>
      <c r="I2" s="62"/>
      <c r="J2" s="62"/>
      <c r="K2" s="62"/>
      <c r="L2" s="62"/>
      <c r="M2" s="62"/>
      <c r="N2" s="62"/>
    </row>
    <row r="3" spans="2:14" ht="49.15" customHeight="1">
      <c r="B3" s="384"/>
      <c r="C3" s="402"/>
      <c r="D3" s="402"/>
      <c r="E3" s="402"/>
      <c r="F3" s="402"/>
      <c r="G3" s="402"/>
      <c r="H3" s="389"/>
      <c r="I3" s="50"/>
      <c r="J3" s="50"/>
      <c r="K3" s="50"/>
      <c r="L3" s="50"/>
      <c r="M3" s="50"/>
      <c r="N3" s="50"/>
    </row>
    <row r="4" spans="2:14" ht="33" thickBot="1">
      <c r="B4" s="385"/>
      <c r="C4" s="98" t="s">
        <v>17</v>
      </c>
      <c r="D4" s="98" t="s">
        <v>8</v>
      </c>
      <c r="E4" s="98" t="s">
        <v>150</v>
      </c>
      <c r="F4" s="98" t="s">
        <v>151</v>
      </c>
      <c r="G4" s="98" t="s">
        <v>4</v>
      </c>
      <c r="H4" s="99" t="s">
        <v>74</v>
      </c>
      <c r="I4" s="62"/>
      <c r="J4" s="50"/>
      <c r="K4" s="55"/>
      <c r="L4" s="328" t="s">
        <v>8</v>
      </c>
      <c r="M4" s="328" t="s">
        <v>4</v>
      </c>
      <c r="N4" s="328" t="s">
        <v>85</v>
      </c>
    </row>
    <row r="5" spans="2:14" ht="17.25" customHeight="1">
      <c r="B5" s="32" t="s">
        <v>5</v>
      </c>
      <c r="C5" s="33">
        <f>Sistemes!M10</f>
        <v>780.87053893606196</v>
      </c>
      <c r="D5" s="24">
        <f t="shared" ref="D5:D12" si="0">C5*365</f>
        <v>285017.74671166262</v>
      </c>
      <c r="E5" s="33">
        <f>Sistemes!S10</f>
        <v>134.08511435107144</v>
      </c>
      <c r="F5" s="147">
        <f>Sistemes!C10</f>
        <v>1095.0630000000001</v>
      </c>
      <c r="G5" s="24">
        <f>E5*F5</f>
        <v>146831.64757662735</v>
      </c>
      <c r="H5" s="117">
        <f>D5+G5</f>
        <v>431849.39428828994</v>
      </c>
      <c r="I5" s="31"/>
      <c r="J5" s="48"/>
      <c r="K5" s="32" t="s">
        <v>5</v>
      </c>
      <c r="L5" s="25">
        <f>(D5*0.19)+D5</f>
        <v>339171.11858687853</v>
      </c>
      <c r="M5" s="329">
        <f>(G5*0.19)+G5</f>
        <v>174729.66061618656</v>
      </c>
      <c r="N5" s="329">
        <f>L5+M5</f>
        <v>513900.77920306509</v>
      </c>
    </row>
    <row r="6" spans="2:14" ht="17.25" customHeight="1">
      <c r="B6" s="29" t="s">
        <v>0</v>
      </c>
      <c r="C6" s="30">
        <f>Sistemes!M11</f>
        <v>569.34370529304329</v>
      </c>
      <c r="D6" s="25">
        <f t="shared" si="0"/>
        <v>207810.45243196079</v>
      </c>
      <c r="E6" s="30">
        <f>Sistemes!S11</f>
        <v>187.19818438415055</v>
      </c>
      <c r="F6" s="146">
        <f>Sistemes!C11</f>
        <v>743.14499999999998</v>
      </c>
      <c r="G6" s="25">
        <f t="shared" ref="G6:G12" si="1">E6*F6</f>
        <v>139115.39473415955</v>
      </c>
      <c r="H6" s="23">
        <f t="shared" ref="H6:H12" si="2">D6+G6</f>
        <v>346925.84716612031</v>
      </c>
      <c r="I6" s="31"/>
      <c r="J6" s="48"/>
      <c r="K6" s="29" t="s">
        <v>0</v>
      </c>
      <c r="L6" s="25">
        <f t="shared" ref="L6:L11" si="3">(D6*0.19)+D6</f>
        <v>247294.43839403335</v>
      </c>
      <c r="M6" s="329">
        <f t="shared" ref="M6:M12" si="4">(G6*0.19)+G6</f>
        <v>165547.31973364987</v>
      </c>
      <c r="N6" s="329">
        <f t="shared" ref="N6:N12" si="5">L6+M6</f>
        <v>412841.75812768319</v>
      </c>
    </row>
    <row r="7" spans="2:14" ht="17.25" customHeight="1">
      <c r="B7" s="29" t="s">
        <v>6</v>
      </c>
      <c r="C7" s="30">
        <f>Sistemes!M12</f>
        <v>528.22636226873271</v>
      </c>
      <c r="D7" s="25">
        <f>C7*365</f>
        <v>192802.62222808745</v>
      </c>
      <c r="E7" s="30">
        <f>Sistemes!S12</f>
        <v>271.84462862141714</v>
      </c>
      <c r="F7" s="146">
        <f>Sistemes!C12</f>
        <v>288.62700000000001</v>
      </c>
      <c r="G7" s="25">
        <f t="shared" si="1"/>
        <v>78461.699625113775</v>
      </c>
      <c r="H7" s="23">
        <f t="shared" si="2"/>
        <v>271264.32185320125</v>
      </c>
      <c r="I7" s="31"/>
      <c r="J7" s="48"/>
      <c r="K7" s="29" t="s">
        <v>6</v>
      </c>
      <c r="L7" s="25">
        <f t="shared" si="3"/>
        <v>229435.12045142407</v>
      </c>
      <c r="M7" s="329">
        <f t="shared" si="4"/>
        <v>93369.422553885393</v>
      </c>
      <c r="N7" s="329">
        <f t="shared" si="5"/>
        <v>322804.54300530948</v>
      </c>
    </row>
    <row r="8" spans="2:14" ht="17.25" customHeight="1">
      <c r="B8" s="29" t="s">
        <v>2</v>
      </c>
      <c r="C8" s="30">
        <f>Sistemes!M13</f>
        <v>263.90756154427623</v>
      </c>
      <c r="D8" s="25">
        <f>C8*365</f>
        <v>96326.259963660821</v>
      </c>
      <c r="E8" s="30">
        <f>Sistemes!S13</f>
        <v>154.34965444733481</v>
      </c>
      <c r="F8" s="146">
        <f>Sistemes!C13</f>
        <v>182.976</v>
      </c>
      <c r="G8" s="25">
        <f t="shared" si="1"/>
        <v>28242.282372155536</v>
      </c>
      <c r="H8" s="23">
        <f t="shared" si="2"/>
        <v>124568.54233581635</v>
      </c>
      <c r="I8" s="31"/>
      <c r="J8" s="48"/>
      <c r="K8" s="29" t="s">
        <v>2</v>
      </c>
      <c r="L8" s="25">
        <f>(D8*0.19)+D8</f>
        <v>114628.24935675638</v>
      </c>
      <c r="M8" s="329">
        <f t="shared" si="4"/>
        <v>33608.316022865089</v>
      </c>
      <c r="N8" s="329">
        <f>L8+M8</f>
        <v>148236.56537962146</v>
      </c>
    </row>
    <row r="9" spans="2:14" ht="17.25" customHeight="1">
      <c r="B9" s="29" t="s">
        <v>31</v>
      </c>
      <c r="C9" s="30">
        <f>Sistemes!M14</f>
        <v>186.42364363812686</v>
      </c>
      <c r="D9" s="25">
        <f>C9*365</f>
        <v>68044.629927916307</v>
      </c>
      <c r="E9" s="30">
        <f>Sistemes!S14</f>
        <v>187.36626834745169</v>
      </c>
      <c r="F9" s="146">
        <f>Sistemes!C14</f>
        <v>119.556</v>
      </c>
      <c r="G9" s="25">
        <f t="shared" si="1"/>
        <v>22400.761578547936</v>
      </c>
      <c r="H9" s="23">
        <f t="shared" si="2"/>
        <v>90445.39150646425</v>
      </c>
      <c r="I9" s="31"/>
      <c r="J9" s="48"/>
      <c r="K9" s="29" t="s">
        <v>31</v>
      </c>
      <c r="L9" s="25">
        <f t="shared" si="3"/>
        <v>80973.109614220404</v>
      </c>
      <c r="M9" s="329">
        <f t="shared" si="4"/>
        <v>26656.906278472045</v>
      </c>
      <c r="N9" s="329">
        <f t="shared" si="5"/>
        <v>107630.01589269245</v>
      </c>
    </row>
    <row r="10" spans="2:14" ht="17.25" customHeight="1">
      <c r="B10" s="29" t="s">
        <v>7</v>
      </c>
      <c r="C10" s="30">
        <f>Sistemes!M15</f>
        <v>254.5368346830916</v>
      </c>
      <c r="D10" s="25">
        <f>C10*365</f>
        <v>92905.944659328437</v>
      </c>
      <c r="E10" s="30">
        <f>Sistemes!S15</f>
        <v>169.59278220855501</v>
      </c>
      <c r="F10" s="146">
        <f>Sistemes!C15</f>
        <v>312.315</v>
      </c>
      <c r="G10" s="25">
        <f t="shared" si="1"/>
        <v>52966.36977546486</v>
      </c>
      <c r="H10" s="23">
        <f t="shared" si="2"/>
        <v>145872.31443479331</v>
      </c>
      <c r="I10" s="31"/>
      <c r="J10" s="48"/>
      <c r="K10" s="29" t="s">
        <v>7</v>
      </c>
      <c r="L10" s="25">
        <f t="shared" si="3"/>
        <v>110558.07414460083</v>
      </c>
      <c r="M10" s="329">
        <f t="shared" si="4"/>
        <v>63029.980032803185</v>
      </c>
      <c r="N10" s="329">
        <f t="shared" si="5"/>
        <v>173588.05417740403</v>
      </c>
    </row>
    <row r="11" spans="2:14" ht="17.25" customHeight="1">
      <c r="B11" s="29" t="s">
        <v>1</v>
      </c>
      <c r="C11" s="30">
        <f>Sistemes!M16</f>
        <v>176.4087839417482</v>
      </c>
      <c r="D11" s="25">
        <f t="shared" si="0"/>
        <v>64389.206138738089</v>
      </c>
      <c r="E11" s="30">
        <f>Sistemes!S16</f>
        <v>193.1974850347728</v>
      </c>
      <c r="F11" s="146">
        <f>Sistemes!C16</f>
        <v>112.64100000000001</v>
      </c>
      <c r="G11" s="25">
        <f t="shared" si="1"/>
        <v>21761.957911801845</v>
      </c>
      <c r="H11" s="23">
        <f t="shared" si="2"/>
        <v>86151.164050539926</v>
      </c>
      <c r="I11" s="31"/>
      <c r="J11" s="48"/>
      <c r="K11" s="29" t="s">
        <v>1</v>
      </c>
      <c r="L11" s="25">
        <f t="shared" si="3"/>
        <v>76623.15530509832</v>
      </c>
      <c r="M11" s="329">
        <f>(G11*0.19)+G11</f>
        <v>25896.729915044194</v>
      </c>
      <c r="N11" s="329">
        <f t="shared" si="5"/>
        <v>102519.88522014252</v>
      </c>
    </row>
    <row r="12" spans="2:14" ht="17.25" customHeight="1" thickBot="1">
      <c r="B12" s="29" t="s">
        <v>30</v>
      </c>
      <c r="C12" s="30">
        <f>Sistemes!M17</f>
        <v>160.81088107385534</v>
      </c>
      <c r="D12" s="25">
        <f t="shared" si="0"/>
        <v>58695.971591957197</v>
      </c>
      <c r="E12" s="30">
        <f>Sistemes!S17</f>
        <v>123.10756532743277</v>
      </c>
      <c r="F12" s="146">
        <f>Sistemes!C17</f>
        <v>113.86799999999999</v>
      </c>
      <c r="G12" s="25">
        <f t="shared" si="1"/>
        <v>14018.012248704114</v>
      </c>
      <c r="H12" s="23">
        <f t="shared" si="2"/>
        <v>72713.983840661313</v>
      </c>
      <c r="I12" s="31"/>
      <c r="J12" s="48"/>
      <c r="K12" s="29" t="s">
        <v>30</v>
      </c>
      <c r="L12" s="25">
        <f>(D12*0.19)+D12</f>
        <v>69848.206194429062</v>
      </c>
      <c r="M12" s="329">
        <f t="shared" si="4"/>
        <v>16681.434575957894</v>
      </c>
      <c r="N12" s="329">
        <f t="shared" si="5"/>
        <v>86529.640770386963</v>
      </c>
    </row>
    <row r="13" spans="2:14" ht="17.25" customHeight="1" thickBot="1">
      <c r="B13" s="386" t="s">
        <v>85</v>
      </c>
      <c r="C13" s="387"/>
      <c r="D13" s="387"/>
      <c r="E13" s="387"/>
      <c r="F13" s="387"/>
      <c r="G13" s="387"/>
      <c r="H13" s="38">
        <f>SUM(H5:H12)</f>
        <v>1569790.9594758868</v>
      </c>
      <c r="I13" s="31"/>
      <c r="J13" s="48"/>
      <c r="K13" s="157"/>
      <c r="L13" s="157">
        <f>SUM(L5:L12)</f>
        <v>1268531.4720474407</v>
      </c>
      <c r="M13" s="48">
        <f>SUM(M5:M12)</f>
        <v>599519.76972886419</v>
      </c>
      <c r="N13" s="48">
        <f>SUM(N5:N12)</f>
        <v>1868051.2417763053</v>
      </c>
    </row>
    <row r="14" spans="2:14" ht="17.25" customHeight="1" thickBot="1">
      <c r="B14" s="35"/>
      <c r="C14" s="35"/>
      <c r="D14" s="35"/>
      <c r="E14" s="35"/>
      <c r="F14" s="35"/>
      <c r="G14" s="35"/>
      <c r="H14" s="37"/>
      <c r="I14" s="31"/>
      <c r="J14" s="48"/>
      <c r="K14" s="72"/>
      <c r="L14" s="72"/>
      <c r="M14" s="48"/>
      <c r="N14" s="48"/>
    </row>
    <row r="15" spans="2:14" ht="17.25" customHeight="1" thickBot="1">
      <c r="B15" s="397" t="s">
        <v>73</v>
      </c>
      <c r="C15" s="398"/>
      <c r="D15" s="398"/>
      <c r="E15" s="398"/>
      <c r="F15" s="398"/>
      <c r="G15" s="36">
        <v>0.19</v>
      </c>
      <c r="H15" s="38">
        <f>(H13)*G15</f>
        <v>298260.28230041848</v>
      </c>
      <c r="I15" s="31"/>
      <c r="J15" s="399"/>
      <c r="K15" s="399"/>
      <c r="L15" s="63"/>
      <c r="M15" s="63"/>
      <c r="N15" s="63"/>
    </row>
    <row r="16" spans="2:14" ht="17.25" customHeight="1" thickBot="1">
      <c r="C16" s="159"/>
      <c r="H16" s="160"/>
      <c r="I16" s="31"/>
      <c r="J16" s="34"/>
      <c r="K16" s="34"/>
      <c r="L16" s="34"/>
      <c r="M16" s="34"/>
      <c r="N16" s="34"/>
    </row>
    <row r="17" spans="2:14" ht="40.9" customHeight="1" thickBot="1">
      <c r="B17" s="381" t="s">
        <v>156</v>
      </c>
      <c r="C17" s="382"/>
      <c r="D17" s="382"/>
      <c r="E17" s="382"/>
      <c r="F17" s="382"/>
      <c r="G17" s="382"/>
      <c r="H17" s="41">
        <f>H13+H15</f>
        <v>1868051.2417763053</v>
      </c>
      <c r="I17" s="31"/>
      <c r="J17" s="90"/>
      <c r="K17" s="90"/>
      <c r="L17" s="64"/>
      <c r="M17" s="64"/>
      <c r="N17" s="64"/>
    </row>
    <row r="18" spans="2:14" ht="17.25" customHeight="1">
      <c r="I18" s="31"/>
      <c r="J18" s="48"/>
      <c r="K18" s="48"/>
      <c r="L18" s="48"/>
      <c r="M18" s="48"/>
      <c r="N18" s="48"/>
    </row>
    <row r="19" spans="2:14" ht="17.25" customHeight="1" thickBot="1">
      <c r="I19" s="31"/>
      <c r="J19" s="48"/>
      <c r="K19" s="48"/>
      <c r="L19" s="48"/>
      <c r="M19" s="48"/>
      <c r="N19" s="48"/>
    </row>
    <row r="20" spans="2:14" ht="33" customHeight="1">
      <c r="B20" s="393" t="s">
        <v>94</v>
      </c>
      <c r="C20" s="394"/>
      <c r="D20" s="394"/>
      <c r="E20" s="394"/>
      <c r="F20" s="394"/>
      <c r="G20" s="394"/>
      <c r="H20" s="394"/>
      <c r="I20" s="394"/>
      <c r="J20" s="394"/>
      <c r="K20" s="395"/>
      <c r="L20" s="62"/>
      <c r="M20" s="62"/>
      <c r="N20" s="62"/>
    </row>
    <row r="21" spans="2:14" ht="90.75" thickBot="1">
      <c r="B21" s="403" t="s">
        <v>192</v>
      </c>
      <c r="C21" s="404"/>
      <c r="D21" s="404"/>
      <c r="E21" s="404"/>
      <c r="F21" s="404"/>
      <c r="G21" s="405"/>
      <c r="H21" s="161" t="s">
        <v>91</v>
      </c>
      <c r="I21" s="396" t="s">
        <v>92</v>
      </c>
      <c r="J21" s="396"/>
      <c r="K21" s="162" t="s">
        <v>93</v>
      </c>
      <c r="L21" s="62"/>
      <c r="M21" s="62"/>
      <c r="N21" s="62"/>
    </row>
    <row r="22" spans="2:14" ht="15">
      <c r="B22" s="390" t="s">
        <v>185</v>
      </c>
      <c r="C22" s="391"/>
      <c r="D22" s="391"/>
      <c r="E22" s="391"/>
      <c r="F22" s="391"/>
      <c r="G22" s="392"/>
      <c r="H22" s="167">
        <v>66642.570000000007</v>
      </c>
      <c r="I22" s="377">
        <v>3</v>
      </c>
      <c r="J22" s="377"/>
      <c r="K22" s="168">
        <f>H22*I22</f>
        <v>199927.71000000002</v>
      </c>
      <c r="L22" s="62"/>
      <c r="M22" s="62"/>
      <c r="N22" s="62"/>
    </row>
    <row r="23" spans="2:14" ht="14.25">
      <c r="B23" s="411" t="s">
        <v>183</v>
      </c>
      <c r="C23" s="412"/>
      <c r="D23" s="412"/>
      <c r="E23" s="412"/>
      <c r="F23" s="412"/>
      <c r="G23" s="413"/>
      <c r="H23" s="145">
        <v>303644.19</v>
      </c>
      <c r="I23" s="409">
        <v>3</v>
      </c>
      <c r="J23" s="409"/>
      <c r="K23" s="148">
        <f t="shared" ref="K23:K25" si="6">H23*I23</f>
        <v>910932.57000000007</v>
      </c>
      <c r="L23" s="66"/>
      <c r="M23" s="66"/>
      <c r="N23" s="66"/>
    </row>
    <row r="24" spans="2:14" ht="14.25">
      <c r="B24" s="411" t="s">
        <v>184</v>
      </c>
      <c r="C24" s="412"/>
      <c r="D24" s="412"/>
      <c r="E24" s="412"/>
      <c r="F24" s="412"/>
      <c r="G24" s="413"/>
      <c r="H24" s="145">
        <v>97887.27</v>
      </c>
      <c r="I24" s="409">
        <v>4</v>
      </c>
      <c r="J24" s="409"/>
      <c r="K24" s="148">
        <f t="shared" si="6"/>
        <v>391549.08</v>
      </c>
      <c r="L24" s="66"/>
      <c r="M24" s="66"/>
      <c r="N24" s="66"/>
    </row>
    <row r="25" spans="2:14" ht="15" thickBot="1">
      <c r="B25" s="378" t="s">
        <v>90</v>
      </c>
      <c r="C25" s="379"/>
      <c r="D25" s="379"/>
      <c r="E25" s="379"/>
      <c r="F25" s="379"/>
      <c r="G25" s="380"/>
      <c r="H25" s="186">
        <v>28274</v>
      </c>
      <c r="I25" s="410">
        <v>1</v>
      </c>
      <c r="J25" s="410"/>
      <c r="K25" s="187">
        <f t="shared" si="6"/>
        <v>28274</v>
      </c>
      <c r="L25" s="66"/>
      <c r="M25" s="66"/>
      <c r="N25" s="66"/>
    </row>
    <row r="26" spans="2:14" ht="20.45" customHeight="1" thickBot="1">
      <c r="B26" s="406" t="s">
        <v>85</v>
      </c>
      <c r="C26" s="407"/>
      <c r="D26" s="407"/>
      <c r="E26" s="407"/>
      <c r="F26" s="407"/>
      <c r="G26" s="407"/>
      <c r="H26" s="189">
        <f>SUM(H23:H25)</f>
        <v>429805.46</v>
      </c>
      <c r="I26" s="408"/>
      <c r="J26" s="408"/>
      <c r="K26" s="188">
        <f>SUM(K22:K25)</f>
        <v>1530683.36</v>
      </c>
      <c r="L26" s="71"/>
      <c r="M26" s="71"/>
      <c r="N26" s="71"/>
    </row>
  </sheetData>
  <mergeCells count="20">
    <mergeCell ref="B26:G26"/>
    <mergeCell ref="I26:J26"/>
    <mergeCell ref="I23:J23"/>
    <mergeCell ref="I24:J24"/>
    <mergeCell ref="I25:J25"/>
    <mergeCell ref="B23:G23"/>
    <mergeCell ref="B24:G24"/>
    <mergeCell ref="I22:J22"/>
    <mergeCell ref="B25:G25"/>
    <mergeCell ref="B17:G17"/>
    <mergeCell ref="B2:B4"/>
    <mergeCell ref="B13:G13"/>
    <mergeCell ref="H2:H3"/>
    <mergeCell ref="B22:G22"/>
    <mergeCell ref="B20:K20"/>
    <mergeCell ref="I21:J21"/>
    <mergeCell ref="B15:F15"/>
    <mergeCell ref="J15:K15"/>
    <mergeCell ref="C2:G3"/>
    <mergeCell ref="B21:G2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49" orientation="landscape" r:id="rId1"/>
  <ignoredErrors>
    <ignoredError sqref="H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zoomScale="80" zoomScaleNormal="80" workbookViewId="0">
      <selection activeCell="B16" sqref="B16"/>
    </sheetView>
  </sheetViews>
  <sheetFormatPr baseColWidth="10" defaultColWidth="11.42578125" defaultRowHeight="12.75"/>
  <cols>
    <col min="1" max="1" width="3.28515625" customWidth="1"/>
    <col min="2" max="2" width="65.7109375" bestFit="1" customWidth="1"/>
    <col min="3" max="3" width="15.7109375" customWidth="1"/>
    <col min="4" max="4" width="13.7109375" customWidth="1"/>
    <col min="5" max="5" width="16.28515625" customWidth="1"/>
    <col min="6" max="6" width="14.85546875" customWidth="1"/>
    <col min="7" max="7" width="12.28515625" customWidth="1"/>
    <col min="8" max="8" width="12.85546875" bestFit="1" customWidth="1"/>
    <col min="9" max="9" width="14.85546875" customWidth="1"/>
    <col min="10" max="10" width="14.5703125" customWidth="1"/>
    <col min="11" max="11" width="13.7109375" customWidth="1"/>
    <col min="12" max="12" width="13.42578125" customWidth="1"/>
    <col min="13" max="13" width="12.42578125" bestFit="1" customWidth="1"/>
    <col min="14" max="14" width="13.7109375" customWidth="1"/>
    <col min="15" max="15" width="13" customWidth="1"/>
    <col min="16" max="16" width="12.42578125" customWidth="1"/>
    <col min="17" max="17" width="14.140625" customWidth="1"/>
    <col min="18" max="18" width="12.5703125" customWidth="1"/>
    <col min="19" max="19" width="12.7109375" customWidth="1"/>
  </cols>
  <sheetData>
    <row r="1" spans="2:18" ht="13.5" thickBot="1"/>
    <row r="2" spans="2:18" s="5" customFormat="1" ht="24" customHeight="1" thickBot="1">
      <c r="B2" s="417" t="s">
        <v>18</v>
      </c>
      <c r="C2" s="417" t="s">
        <v>19</v>
      </c>
      <c r="D2" s="417" t="s">
        <v>20</v>
      </c>
      <c r="E2" s="80" t="s">
        <v>21</v>
      </c>
      <c r="F2" s="431" t="s">
        <v>152</v>
      </c>
      <c r="G2" s="438"/>
      <c r="H2" s="81"/>
    </row>
    <row r="3" spans="2:18" s="3" customFormat="1" ht="25.5" customHeight="1" thickBot="1">
      <c r="B3" s="418"/>
      <c r="C3" s="418"/>
      <c r="D3" s="418"/>
      <c r="E3" s="76" t="s">
        <v>22</v>
      </c>
      <c r="F3" s="432"/>
      <c r="G3" s="438"/>
      <c r="J3" s="101" t="s">
        <v>23</v>
      </c>
      <c r="K3" s="102" t="s">
        <v>24</v>
      </c>
      <c r="L3" s="102" t="s">
        <v>25</v>
      </c>
      <c r="M3" s="102" t="s">
        <v>26</v>
      </c>
      <c r="N3" s="102" t="s">
        <v>27</v>
      </c>
      <c r="O3" s="102" t="s">
        <v>28</v>
      </c>
      <c r="P3" s="103" t="s">
        <v>79</v>
      </c>
      <c r="Q3" s="102" t="s">
        <v>29</v>
      </c>
      <c r="R3" s="57"/>
    </row>
    <row r="4" spans="2:18" ht="15.75" customHeight="1">
      <c r="B4" s="190" t="s">
        <v>186</v>
      </c>
      <c r="C4" s="191" t="s">
        <v>143</v>
      </c>
      <c r="D4" s="192">
        <v>1</v>
      </c>
      <c r="E4" s="193">
        <v>1</v>
      </c>
      <c r="F4" s="194">
        <v>67497.263136000009</v>
      </c>
      <c r="G4" s="3"/>
      <c r="H4" s="42"/>
      <c r="I4" s="82">
        <f t="shared" ref="I4:I16" si="0">SUM(J4:Q4)</f>
        <v>1</v>
      </c>
      <c r="J4" s="104">
        <v>0.3</v>
      </c>
      <c r="K4" s="105">
        <v>0.15</v>
      </c>
      <c r="L4" s="105">
        <v>0.05</v>
      </c>
      <c r="M4" s="105">
        <v>0.2</v>
      </c>
      <c r="N4" s="105">
        <v>0.1</v>
      </c>
      <c r="O4" s="105">
        <v>0.1</v>
      </c>
      <c r="P4" s="105">
        <v>0.05</v>
      </c>
      <c r="Q4" s="105">
        <v>0.05</v>
      </c>
      <c r="R4" s="26"/>
    </row>
    <row r="5" spans="2:18" ht="15.75" customHeight="1">
      <c r="B5" s="195" t="s">
        <v>136</v>
      </c>
      <c r="C5" s="94" t="s">
        <v>144</v>
      </c>
      <c r="D5" s="121">
        <v>1</v>
      </c>
      <c r="E5" s="95">
        <v>1</v>
      </c>
      <c r="F5" s="196">
        <v>38913.702815999997</v>
      </c>
      <c r="G5" s="3"/>
      <c r="H5" s="42"/>
      <c r="I5" s="82">
        <f t="shared" si="0"/>
        <v>1</v>
      </c>
      <c r="J5" s="153">
        <v>0.3</v>
      </c>
      <c r="K5" s="154">
        <v>0.15</v>
      </c>
      <c r="L5" s="154">
        <v>0.05</v>
      </c>
      <c r="M5" s="154">
        <v>0.2</v>
      </c>
      <c r="N5" s="154">
        <v>0.1</v>
      </c>
      <c r="O5" s="154">
        <v>0.1</v>
      </c>
      <c r="P5" s="154">
        <v>0.05</v>
      </c>
      <c r="Q5" s="154">
        <v>0.05</v>
      </c>
      <c r="R5" s="26"/>
    </row>
    <row r="6" spans="2:18" ht="15.75" customHeight="1">
      <c r="B6" s="195" t="s">
        <v>224</v>
      </c>
      <c r="C6" s="94" t="s">
        <v>144</v>
      </c>
      <c r="D6" s="121">
        <v>1</v>
      </c>
      <c r="E6" s="95">
        <v>1</v>
      </c>
      <c r="F6" s="196">
        <v>38000</v>
      </c>
      <c r="G6" s="69"/>
      <c r="H6" s="42"/>
      <c r="I6" s="82">
        <f t="shared" si="0"/>
        <v>1</v>
      </c>
      <c r="J6" s="153">
        <v>0.3</v>
      </c>
      <c r="K6" s="154">
        <v>0.15</v>
      </c>
      <c r="L6" s="154">
        <v>0.05</v>
      </c>
      <c r="M6" s="154">
        <v>0.2</v>
      </c>
      <c r="N6" s="154">
        <v>0.1</v>
      </c>
      <c r="O6" s="154">
        <v>0.1</v>
      </c>
      <c r="P6" s="154">
        <v>0.05</v>
      </c>
      <c r="Q6" s="154">
        <v>0.05</v>
      </c>
      <c r="R6" s="26"/>
    </row>
    <row r="7" spans="2:18" ht="15.75" customHeight="1">
      <c r="B7" s="195" t="s">
        <v>137</v>
      </c>
      <c r="C7" s="94" t="s">
        <v>145</v>
      </c>
      <c r="D7" s="121">
        <v>1</v>
      </c>
      <c r="E7" s="95">
        <v>1</v>
      </c>
      <c r="F7" s="196">
        <v>48081.014596000001</v>
      </c>
      <c r="G7" s="3"/>
      <c r="H7" s="42"/>
      <c r="I7" s="82">
        <f t="shared" si="0"/>
        <v>1</v>
      </c>
      <c r="J7" s="153">
        <v>0.3</v>
      </c>
      <c r="K7" s="154">
        <v>0.15</v>
      </c>
      <c r="L7" s="154">
        <v>0.05</v>
      </c>
      <c r="M7" s="154">
        <v>0.2</v>
      </c>
      <c r="N7" s="154">
        <v>0.1</v>
      </c>
      <c r="O7" s="154">
        <v>0.1</v>
      </c>
      <c r="P7" s="154">
        <v>0.05</v>
      </c>
      <c r="Q7" s="154">
        <v>0.05</v>
      </c>
      <c r="R7" s="26"/>
    </row>
    <row r="8" spans="2:18" ht="15.75" customHeight="1">
      <c r="B8" s="195" t="s">
        <v>199</v>
      </c>
      <c r="C8" s="94" t="s">
        <v>146</v>
      </c>
      <c r="D8" s="121">
        <v>1</v>
      </c>
      <c r="E8" s="95">
        <v>1</v>
      </c>
      <c r="F8" s="196">
        <v>42397.364484000005</v>
      </c>
      <c r="G8" s="3"/>
      <c r="H8" s="42"/>
      <c r="I8" s="82">
        <f t="shared" si="0"/>
        <v>1</v>
      </c>
      <c r="J8" s="153">
        <v>0.3</v>
      </c>
      <c r="K8" s="154">
        <v>0.15</v>
      </c>
      <c r="L8" s="154">
        <v>0.05</v>
      </c>
      <c r="M8" s="154">
        <v>0.2</v>
      </c>
      <c r="N8" s="154">
        <v>0.1</v>
      </c>
      <c r="O8" s="154">
        <v>0.1</v>
      </c>
      <c r="P8" s="154">
        <v>0.05</v>
      </c>
      <c r="Q8" s="154">
        <v>0.05</v>
      </c>
      <c r="R8" s="26"/>
    </row>
    <row r="9" spans="2:18" ht="15.75" customHeight="1">
      <c r="B9" s="195" t="s">
        <v>160</v>
      </c>
      <c r="C9" s="94" t="s">
        <v>146</v>
      </c>
      <c r="D9" s="121">
        <v>1</v>
      </c>
      <c r="E9" s="95">
        <v>1</v>
      </c>
      <c r="F9" s="196">
        <v>40998.752672000002</v>
      </c>
      <c r="G9" s="3"/>
      <c r="H9" s="42"/>
      <c r="I9" s="82">
        <f t="shared" si="0"/>
        <v>1</v>
      </c>
      <c r="J9" s="153">
        <v>1</v>
      </c>
      <c r="K9" s="154"/>
      <c r="L9" s="154"/>
      <c r="M9" s="154"/>
      <c r="N9" s="154"/>
      <c r="O9" s="154"/>
      <c r="P9" s="154"/>
      <c r="Q9" s="154"/>
      <c r="R9" s="26"/>
    </row>
    <row r="10" spans="2:18" ht="15.75" customHeight="1">
      <c r="B10" s="195" t="s">
        <v>138</v>
      </c>
      <c r="C10" s="94" t="s">
        <v>146</v>
      </c>
      <c r="D10" s="121">
        <v>1</v>
      </c>
      <c r="E10" s="95">
        <v>1</v>
      </c>
      <c r="F10" s="196">
        <v>40803.413428</v>
      </c>
      <c r="G10" s="3"/>
      <c r="H10" s="42"/>
      <c r="I10" s="82">
        <f t="shared" si="0"/>
        <v>1</v>
      </c>
      <c r="J10" s="153"/>
      <c r="K10" s="154">
        <v>1</v>
      </c>
      <c r="L10" s="154"/>
      <c r="M10" s="154"/>
      <c r="N10" s="154"/>
      <c r="O10" s="154"/>
      <c r="P10" s="154"/>
      <c r="Q10" s="154"/>
      <c r="R10" s="26"/>
    </row>
    <row r="11" spans="2:18" ht="15.75" customHeight="1">
      <c r="B11" s="195" t="s">
        <v>139</v>
      </c>
      <c r="C11" s="94" t="s">
        <v>146</v>
      </c>
      <c r="D11" s="121">
        <v>1</v>
      </c>
      <c r="E11" s="95">
        <v>1</v>
      </c>
      <c r="F11" s="196">
        <v>45883.468227999998</v>
      </c>
      <c r="G11" s="3"/>
      <c r="H11" s="42"/>
      <c r="I11" s="82">
        <f t="shared" si="0"/>
        <v>1</v>
      </c>
      <c r="J11" s="153"/>
      <c r="K11" s="154"/>
      <c r="L11" s="154"/>
      <c r="M11" s="155">
        <v>1</v>
      </c>
      <c r="N11" s="154"/>
      <c r="O11" s="154"/>
      <c r="P11" s="154"/>
      <c r="Q11" s="154"/>
      <c r="R11" s="26"/>
    </row>
    <row r="12" spans="2:18" ht="15.75" customHeight="1">
      <c r="B12" s="195" t="s">
        <v>140</v>
      </c>
      <c r="C12" s="94" t="s">
        <v>147</v>
      </c>
      <c r="D12" s="121">
        <v>1</v>
      </c>
      <c r="E12" s="95">
        <v>1</v>
      </c>
      <c r="F12" s="196">
        <v>40820.051747999998</v>
      </c>
      <c r="G12" s="3"/>
      <c r="H12" s="42"/>
      <c r="I12" s="82">
        <f t="shared" si="0"/>
        <v>1</v>
      </c>
      <c r="J12" s="153"/>
      <c r="K12" s="154"/>
      <c r="L12" s="154">
        <v>0.5</v>
      </c>
      <c r="M12" s="154"/>
      <c r="N12" s="154">
        <v>0.5</v>
      </c>
      <c r="O12" s="154"/>
      <c r="P12" s="154"/>
      <c r="Q12" s="154"/>
      <c r="R12" s="26"/>
    </row>
    <row r="13" spans="2:18" ht="15.75" customHeight="1">
      <c r="B13" s="195" t="s">
        <v>141</v>
      </c>
      <c r="C13" s="94" t="s">
        <v>147</v>
      </c>
      <c r="D13" s="121">
        <v>1</v>
      </c>
      <c r="E13" s="95">
        <v>1</v>
      </c>
      <c r="F13" s="196">
        <v>42246.921868000005</v>
      </c>
      <c r="G13" s="3"/>
      <c r="H13" s="42"/>
      <c r="I13" s="82">
        <f t="shared" si="0"/>
        <v>1</v>
      </c>
      <c r="J13" s="153"/>
      <c r="K13" s="154"/>
      <c r="L13" s="154"/>
      <c r="M13" s="154"/>
      <c r="N13" s="154"/>
      <c r="O13" s="154">
        <v>0.34</v>
      </c>
      <c r="P13" s="154">
        <v>0.33</v>
      </c>
      <c r="Q13" s="154">
        <v>0.33</v>
      </c>
      <c r="R13" s="26"/>
    </row>
    <row r="14" spans="2:18" ht="15.75" customHeight="1">
      <c r="B14" s="195" t="s">
        <v>223</v>
      </c>
      <c r="C14" s="94" t="s">
        <v>147</v>
      </c>
      <c r="D14" s="121">
        <v>1</v>
      </c>
      <c r="E14" s="95">
        <v>1</v>
      </c>
      <c r="F14" s="197">
        <v>32000</v>
      </c>
      <c r="G14" s="3"/>
      <c r="H14" s="42"/>
      <c r="I14" s="82">
        <f t="shared" si="0"/>
        <v>1</v>
      </c>
      <c r="J14" s="153">
        <v>0.2</v>
      </c>
      <c r="K14" s="154">
        <v>0.2</v>
      </c>
      <c r="L14" s="154">
        <v>0.1</v>
      </c>
      <c r="M14" s="154">
        <v>0.2</v>
      </c>
      <c r="N14" s="154">
        <v>0.1</v>
      </c>
      <c r="O14" s="154">
        <v>7.0000000000000007E-2</v>
      </c>
      <c r="P14" s="154">
        <v>7.0000000000000007E-2</v>
      </c>
      <c r="Q14" s="154">
        <v>0.06</v>
      </c>
      <c r="R14" s="26"/>
    </row>
    <row r="15" spans="2:18" ht="15.75" customHeight="1">
      <c r="B15" s="195" t="s">
        <v>225</v>
      </c>
      <c r="C15" s="94" t="s">
        <v>147</v>
      </c>
      <c r="D15" s="121">
        <v>1</v>
      </c>
      <c r="E15" s="95">
        <v>1</v>
      </c>
      <c r="F15" s="196">
        <v>32011.564124</v>
      </c>
      <c r="G15" s="100"/>
      <c r="H15" s="42"/>
      <c r="I15" s="82">
        <f t="shared" si="0"/>
        <v>0.99999999999999989</v>
      </c>
      <c r="J15" s="156">
        <f>E51</f>
        <v>7.0363073459048686E-2</v>
      </c>
      <c r="K15" s="155">
        <f>E52</f>
        <v>0.39072614691809737</v>
      </c>
      <c r="L15" s="155">
        <f>E53</f>
        <v>1.8763486255746317E-3</v>
      </c>
      <c r="M15" s="155">
        <f>E54</f>
        <v>0.33330987897551367</v>
      </c>
      <c r="N15" s="155">
        <f>E55</f>
        <v>3.7526972511492639E-2</v>
      </c>
      <c r="O15" s="154"/>
      <c r="P15" s="155">
        <f>E56</f>
        <v>0.12852988085186229</v>
      </c>
      <c r="Q15" s="155">
        <f>E57</f>
        <v>3.7667698658410735E-2</v>
      </c>
      <c r="R15" s="26"/>
    </row>
    <row r="16" spans="2:18" ht="15.75" customHeight="1" thickBot="1">
      <c r="B16" s="198" t="s">
        <v>142</v>
      </c>
      <c r="C16" s="199" t="s">
        <v>147</v>
      </c>
      <c r="D16" s="200">
        <v>1</v>
      </c>
      <c r="E16" s="201">
        <v>0.5</v>
      </c>
      <c r="F16" s="202">
        <f>31000/2</f>
        <v>15500</v>
      </c>
      <c r="G16" s="100"/>
      <c r="H16" s="42"/>
      <c r="I16" s="82">
        <f t="shared" si="0"/>
        <v>1</v>
      </c>
      <c r="J16" s="153">
        <v>0.3</v>
      </c>
      <c r="K16" s="154">
        <v>0.15</v>
      </c>
      <c r="L16" s="154">
        <v>0.05</v>
      </c>
      <c r="M16" s="154">
        <v>0.2</v>
      </c>
      <c r="N16" s="154">
        <v>0.1</v>
      </c>
      <c r="O16" s="154">
        <v>0.1</v>
      </c>
      <c r="P16" s="154">
        <v>0.05</v>
      </c>
      <c r="Q16" s="154">
        <v>0.05</v>
      </c>
      <c r="R16" s="26"/>
    </row>
    <row r="17" spans="1:18" ht="15.75" customHeight="1" thickBot="1">
      <c r="B17" s="83"/>
      <c r="C17" s="84"/>
      <c r="D17" s="85"/>
      <c r="E17" s="86"/>
      <c r="F17" s="87"/>
      <c r="G17" s="3"/>
      <c r="H17" s="42"/>
      <c r="I17" s="88"/>
      <c r="J17" s="18"/>
      <c r="K17" s="18"/>
      <c r="L17" s="18"/>
      <c r="M17" s="18"/>
      <c r="N17" s="18"/>
      <c r="O17" s="18"/>
      <c r="P17" s="18"/>
      <c r="Q17" s="18"/>
      <c r="R17" s="26"/>
    </row>
    <row r="18" spans="1:18" ht="15.75" customHeight="1" thickBot="1">
      <c r="B18" s="419" t="s">
        <v>102</v>
      </c>
      <c r="C18" s="420"/>
      <c r="D18" s="40">
        <f>SUM(D4:D16)</f>
        <v>13</v>
      </c>
      <c r="E18" s="39"/>
      <c r="F18" s="44">
        <f>SUM(F4:F16)</f>
        <v>525153.51710000006</v>
      </c>
      <c r="H18" s="433" t="s">
        <v>87</v>
      </c>
      <c r="I18" s="434"/>
      <c r="J18" s="108">
        <f t="shared" ref="J18:Q18" si="1">SUM(J4:J16)</f>
        <v>3.0703630734590486</v>
      </c>
      <c r="K18" s="108">
        <f t="shared" si="1"/>
        <v>2.4907261469180972</v>
      </c>
      <c r="L18" s="108">
        <f t="shared" si="1"/>
        <v>0.90187634862557464</v>
      </c>
      <c r="M18" s="108">
        <f t="shared" si="1"/>
        <v>2.7333098789755139</v>
      </c>
      <c r="N18" s="108">
        <f t="shared" si="1"/>
        <v>1.2375269725114928</v>
      </c>
      <c r="O18" s="108">
        <f t="shared" si="1"/>
        <v>1.0100000000000002</v>
      </c>
      <c r="P18" s="108">
        <f t="shared" si="1"/>
        <v>0.82852988085186241</v>
      </c>
      <c r="Q18" s="108">
        <f t="shared" si="1"/>
        <v>0.72766769865841086</v>
      </c>
      <c r="R18" s="43">
        <f>SUM(J18:Q18)</f>
        <v>13</v>
      </c>
    </row>
    <row r="19" spans="1:18" ht="15.75" customHeight="1" thickBot="1">
      <c r="J19" s="2"/>
      <c r="K19" s="2"/>
      <c r="L19" s="2"/>
      <c r="M19" s="2"/>
    </row>
    <row r="20" spans="1:18" ht="28.5" customHeight="1" thickBot="1">
      <c r="A20" s="4"/>
      <c r="B20" s="4"/>
      <c r="C20" s="4"/>
      <c r="D20" s="4"/>
      <c r="E20" s="4"/>
      <c r="F20" s="327"/>
      <c r="G20" s="4"/>
      <c r="H20" s="429" t="s">
        <v>110</v>
      </c>
      <c r="I20" s="430"/>
      <c r="J20" s="109">
        <f t="shared" ref="J20:Q20" si="2">J4*$F$4+J5*$F$5+J6*$F$6+J7*$F$7+$F$15*J15+J9*$F$9+J10*$F$10+J11*$F$11+J14*$F$14+J16*$F$16+J8*$F$8+J12*$F$12+J13*$F$13</f>
        <v>124767.98821959605</v>
      </c>
      <c r="K20" s="109">
        <f t="shared" si="2"/>
        <v>97269.570289792129</v>
      </c>
      <c r="L20" s="109">
        <f t="shared" si="2"/>
        <v>36189.557979946563</v>
      </c>
      <c r="M20" s="109">
        <f t="shared" si="2"/>
        <v>113031.10779838733</v>
      </c>
      <c r="N20" s="109">
        <f t="shared" si="2"/>
        <v>49850.257464131231</v>
      </c>
      <c r="O20" s="109">
        <f t="shared" si="2"/>
        <v>41642.887938319996</v>
      </c>
      <c r="P20" s="109">
        <f t="shared" si="2"/>
        <v>32815.39399077947</v>
      </c>
      <c r="Q20" s="203">
        <f t="shared" si="2"/>
        <v>29586.753419047229</v>
      </c>
      <c r="R20" s="204">
        <f>SUM(J20:Q20)</f>
        <v>525153.51709999994</v>
      </c>
    </row>
    <row r="21" spans="1:18">
      <c r="A21" s="4"/>
      <c r="B21" s="205" t="s">
        <v>148</v>
      </c>
      <c r="C21" s="20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5.5">
      <c r="A22" s="4"/>
      <c r="B22" s="210" t="s">
        <v>124</v>
      </c>
      <c r="C22" s="211" t="s">
        <v>125</v>
      </c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3.5" thickBot="1">
      <c r="A23" s="4"/>
      <c r="B23" s="212">
        <v>0.02</v>
      </c>
      <c r="C23" s="213">
        <f>(((1+B23)+((1+B23)*(1+B23))+((1+B23)*(1+B23)*(1+B23))+((1+B23)*(1+B23)*(1+B23)*(1+B23))+((1+B23)*(1+B23)*(1+B23)*(1+B23)*(1+B23)))/5)-1</f>
        <v>6.1624192640000075E-2</v>
      </c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3.5" thickBot="1">
      <c r="A24" s="4"/>
      <c r="B24" s="4"/>
      <c r="C24" s="4"/>
      <c r="D24" s="4"/>
      <c r="E24" s="4"/>
      <c r="F24" s="101" t="s">
        <v>23</v>
      </c>
      <c r="G24" s="102" t="s">
        <v>24</v>
      </c>
      <c r="H24" s="102" t="s">
        <v>25</v>
      </c>
      <c r="I24" s="102" t="s">
        <v>26</v>
      </c>
      <c r="J24" s="102" t="s">
        <v>27</v>
      </c>
      <c r="K24" s="102" t="s">
        <v>28</v>
      </c>
      <c r="L24" s="103" t="s">
        <v>79</v>
      </c>
      <c r="M24" s="102" t="s">
        <v>29</v>
      </c>
      <c r="N24" s="4"/>
      <c r="O24" s="4"/>
      <c r="P24" s="4"/>
      <c r="Q24" s="4"/>
      <c r="R24" s="4"/>
    </row>
    <row r="25" spans="1:18" ht="17.45" customHeight="1">
      <c r="A25" s="4"/>
      <c r="B25" s="435" t="s">
        <v>98</v>
      </c>
      <c r="C25" s="436"/>
      <c r="D25" s="436"/>
      <c r="E25" s="437"/>
      <c r="F25" s="118">
        <f t="shared" ref="F25:M25" si="3">J20*(1+$B$23)</f>
        <v>127263.34798398797</v>
      </c>
      <c r="G25" s="46">
        <f t="shared" si="3"/>
        <v>99214.961695587976</v>
      </c>
      <c r="H25" s="46">
        <f t="shared" si="3"/>
        <v>36913.349139545498</v>
      </c>
      <c r="I25" s="46">
        <f t="shared" si="3"/>
        <v>115291.72995435508</v>
      </c>
      <c r="J25" s="46">
        <f t="shared" si="3"/>
        <v>50847.262613413855</v>
      </c>
      <c r="K25" s="46">
        <f t="shared" si="3"/>
        <v>42475.7456970864</v>
      </c>
      <c r="L25" s="46">
        <f t="shared" si="3"/>
        <v>33471.701870595061</v>
      </c>
      <c r="M25" s="181">
        <f t="shared" si="3"/>
        <v>30178.488487428174</v>
      </c>
      <c r="N25" s="4"/>
    </row>
    <row r="26" spans="1:18" ht="17.45" customHeight="1">
      <c r="A26" s="4"/>
      <c r="B26" s="414" t="s">
        <v>99</v>
      </c>
      <c r="C26" s="415"/>
      <c r="D26" s="415"/>
      <c r="E26" s="416"/>
      <c r="F26" s="119">
        <f t="shared" ref="F26:M29" si="4">F25*(1+$B$23)</f>
        <v>129808.61494366774</v>
      </c>
      <c r="G26" s="45">
        <f t="shared" si="4"/>
        <v>101199.26092949974</v>
      </c>
      <c r="H26" s="45">
        <f t="shared" si="4"/>
        <v>37651.616122336411</v>
      </c>
      <c r="I26" s="45">
        <f t="shared" si="4"/>
        <v>117597.56455344218</v>
      </c>
      <c r="J26" s="45">
        <f t="shared" si="4"/>
        <v>51864.207865682132</v>
      </c>
      <c r="K26" s="45">
        <f t="shared" si="4"/>
        <v>43325.260611028127</v>
      </c>
      <c r="L26" s="45">
        <f t="shared" si="4"/>
        <v>34141.13590800696</v>
      </c>
      <c r="M26" s="182">
        <f t="shared" si="4"/>
        <v>30782.058257176737</v>
      </c>
      <c r="N26" s="4"/>
    </row>
    <row r="27" spans="1:18" ht="17.45" customHeight="1">
      <c r="A27" s="4"/>
      <c r="B27" s="414" t="s">
        <v>100</v>
      </c>
      <c r="C27" s="415"/>
      <c r="D27" s="415"/>
      <c r="E27" s="416"/>
      <c r="F27" s="119">
        <f t="shared" si="4"/>
        <v>132404.78724254109</v>
      </c>
      <c r="G27" s="45">
        <f t="shared" si="4"/>
        <v>103223.24614808973</v>
      </c>
      <c r="H27" s="45">
        <f t="shared" si="4"/>
        <v>38404.648444783139</v>
      </c>
      <c r="I27" s="45">
        <f t="shared" si="4"/>
        <v>119949.51584451103</v>
      </c>
      <c r="J27" s="45">
        <f t="shared" si="4"/>
        <v>52901.492022995779</v>
      </c>
      <c r="K27" s="45">
        <f t="shared" si="4"/>
        <v>44191.765823248687</v>
      </c>
      <c r="L27" s="45">
        <f t="shared" si="4"/>
        <v>34823.958626167099</v>
      </c>
      <c r="M27" s="182">
        <f t="shared" si="4"/>
        <v>31397.699422320271</v>
      </c>
      <c r="N27" s="4"/>
    </row>
    <row r="28" spans="1:18" ht="17.45" customHeight="1">
      <c r="A28" s="4"/>
      <c r="B28" s="414" t="s">
        <v>101</v>
      </c>
      <c r="C28" s="415"/>
      <c r="D28" s="415"/>
      <c r="E28" s="416"/>
      <c r="F28" s="119">
        <f t="shared" si="4"/>
        <v>135052.8829873919</v>
      </c>
      <c r="G28" s="45">
        <f t="shared" si="4"/>
        <v>105287.71107105153</v>
      </c>
      <c r="H28" s="45">
        <f t="shared" si="4"/>
        <v>39172.741413678799</v>
      </c>
      <c r="I28" s="45">
        <f t="shared" si="4"/>
        <v>122348.50616140125</v>
      </c>
      <c r="J28" s="45">
        <f t="shared" si="4"/>
        <v>53959.521863455695</v>
      </c>
      <c r="K28" s="45">
        <f t="shared" si="4"/>
        <v>45075.601139713661</v>
      </c>
      <c r="L28" s="45">
        <f t="shared" si="4"/>
        <v>35520.437798690444</v>
      </c>
      <c r="M28" s="182">
        <f t="shared" si="4"/>
        <v>32025.653410766678</v>
      </c>
      <c r="N28" s="4"/>
    </row>
    <row r="29" spans="1:18" ht="17.45" customHeight="1" thickBot="1">
      <c r="A29" s="4"/>
      <c r="B29" s="426" t="s">
        <v>158</v>
      </c>
      <c r="C29" s="427"/>
      <c r="D29" s="427"/>
      <c r="E29" s="428"/>
      <c r="F29" s="120">
        <f t="shared" si="4"/>
        <v>137753.94064713974</v>
      </c>
      <c r="G29" s="47">
        <f t="shared" si="4"/>
        <v>107393.46529247255</v>
      </c>
      <c r="H29" s="47">
        <f t="shared" si="4"/>
        <v>39956.196241952377</v>
      </c>
      <c r="I29" s="47">
        <f t="shared" si="4"/>
        <v>124795.47628462927</v>
      </c>
      <c r="J29" s="47">
        <f t="shared" si="4"/>
        <v>55038.712300724808</v>
      </c>
      <c r="K29" s="47">
        <f t="shared" si="4"/>
        <v>45977.113162507936</v>
      </c>
      <c r="L29" s="47">
        <f t="shared" si="4"/>
        <v>36230.846554664255</v>
      </c>
      <c r="M29" s="183">
        <f t="shared" si="4"/>
        <v>32666.166478982013</v>
      </c>
      <c r="N29" s="4"/>
    </row>
    <row r="30" spans="1:18" ht="13.5" thickBot="1"/>
    <row r="31" spans="1:18" ht="29.25" customHeight="1" thickBot="1">
      <c r="B31" s="424" t="s">
        <v>159</v>
      </c>
      <c r="C31" s="425"/>
      <c r="D31" s="425"/>
      <c r="E31" s="425"/>
      <c r="F31" s="206">
        <f>AVERAGE(F25:F30)</f>
        <v>132456.7147609457</v>
      </c>
      <c r="G31" s="206">
        <f t="shared" ref="G31:M31" si="5">AVERAGE(G25:G30)</f>
        <v>103263.72902734032</v>
      </c>
      <c r="H31" s="206">
        <f t="shared" si="5"/>
        <v>38419.710272459241</v>
      </c>
      <c r="I31" s="206">
        <f t="shared" si="5"/>
        <v>119996.55855966776</v>
      </c>
      <c r="J31" s="206">
        <f t="shared" si="5"/>
        <v>52922.23933325446</v>
      </c>
      <c r="K31" s="206">
        <f t="shared" si="5"/>
        <v>44209.097286716962</v>
      </c>
      <c r="L31" s="206">
        <f t="shared" si="5"/>
        <v>34837.616151624767</v>
      </c>
      <c r="M31" s="206">
        <f t="shared" si="5"/>
        <v>31410.013211334775</v>
      </c>
      <c r="N31" s="207">
        <f>SUM(F31:M31)</f>
        <v>557515.67860334413</v>
      </c>
    </row>
    <row r="33" spans="2:10">
      <c r="B33" s="19"/>
      <c r="J33" s="89"/>
    </row>
    <row r="34" spans="2:10" ht="13.5" thickBot="1"/>
    <row r="35" spans="2:10" ht="39" thickBot="1">
      <c r="B35" s="3"/>
      <c r="C35" s="110" t="s">
        <v>149</v>
      </c>
    </row>
    <row r="36" spans="2:10" ht="14.25">
      <c r="B36" s="70" t="s">
        <v>75</v>
      </c>
      <c r="C36" s="77">
        <f>F31</f>
        <v>132456.7147609457</v>
      </c>
      <c r="F36" s="149"/>
    </row>
    <row r="37" spans="2:10" ht="14.25">
      <c r="B37" s="70" t="s">
        <v>76</v>
      </c>
      <c r="C37" s="78">
        <f>G31</f>
        <v>103263.72902734032</v>
      </c>
      <c r="F37" s="149"/>
    </row>
    <row r="38" spans="2:10" ht="14.25">
      <c r="B38" s="70" t="s">
        <v>77</v>
      </c>
      <c r="C38" s="78">
        <f>I31</f>
        <v>119996.55855966776</v>
      </c>
      <c r="F38" s="149"/>
    </row>
    <row r="39" spans="2:10" ht="14.25">
      <c r="B39" s="70" t="s">
        <v>78</v>
      </c>
      <c r="C39" s="78">
        <f>J31</f>
        <v>52922.23933325446</v>
      </c>
      <c r="F39" s="149"/>
    </row>
    <row r="40" spans="2:10" ht="14.25">
      <c r="B40" s="70" t="s">
        <v>79</v>
      </c>
      <c r="C40" s="78">
        <f>L31</f>
        <v>34837.616151624767</v>
      </c>
      <c r="F40" s="149"/>
    </row>
    <row r="41" spans="2:10" ht="14.25">
      <c r="B41" s="70" t="s">
        <v>83</v>
      </c>
      <c r="C41" s="78">
        <f>K31</f>
        <v>44209.097286716962</v>
      </c>
      <c r="F41" s="149"/>
    </row>
    <row r="42" spans="2:10" ht="14.25">
      <c r="B42" s="70" t="s">
        <v>25</v>
      </c>
      <c r="C42" s="78">
        <f>H31</f>
        <v>38419.710272459241</v>
      </c>
      <c r="F42" s="149"/>
    </row>
    <row r="43" spans="2:10" ht="14.25">
      <c r="B43" s="70" t="s">
        <v>84</v>
      </c>
      <c r="C43" s="78">
        <f>M31</f>
        <v>31410.013211334775</v>
      </c>
      <c r="F43" s="149"/>
    </row>
    <row r="44" spans="2:10">
      <c r="B44" s="3"/>
      <c r="C44" s="3"/>
    </row>
    <row r="45" spans="2:10">
      <c r="B45" s="3" t="s">
        <v>85</v>
      </c>
      <c r="C45" s="78">
        <f>SUM(C36:C44)</f>
        <v>557515.67860334401</v>
      </c>
      <c r="D45" s="65"/>
    </row>
    <row r="48" spans="2:10" ht="13.5" thickBot="1"/>
    <row r="49" spans="2:7" ht="13.5" thickBot="1">
      <c r="C49" s="421" t="s">
        <v>165</v>
      </c>
      <c r="D49" s="422"/>
      <c r="E49" s="423"/>
    </row>
    <row r="50" spans="2:7" ht="51.75" thickBot="1">
      <c r="C50" s="111" t="s">
        <v>161</v>
      </c>
      <c r="D50" s="126" t="s">
        <v>162</v>
      </c>
      <c r="E50" s="112" t="s">
        <v>163</v>
      </c>
      <c r="G50" s="124"/>
    </row>
    <row r="51" spans="2:7" s="3" customFormat="1">
      <c r="B51" s="132" t="s">
        <v>23</v>
      </c>
      <c r="C51" s="150">
        <v>0</v>
      </c>
      <c r="D51" s="150">
        <v>1.5</v>
      </c>
      <c r="E51" s="131">
        <f t="shared" ref="E51:E57" si="6">(C51*(0.5/$C$58))+(D51*(0.5/$D$58))</f>
        <v>7.0363073459048686E-2</v>
      </c>
    </row>
    <row r="52" spans="2:7">
      <c r="B52" s="122" t="s">
        <v>76</v>
      </c>
      <c r="C52" s="133">
        <v>1</v>
      </c>
      <c r="D52" s="133">
        <v>3</v>
      </c>
      <c r="E52" s="131">
        <f t="shared" si="6"/>
        <v>0.39072614691809737</v>
      </c>
    </row>
    <row r="53" spans="2:7">
      <c r="B53" s="122" t="s">
        <v>25</v>
      </c>
      <c r="C53" s="133">
        <v>0</v>
      </c>
      <c r="D53" s="133">
        <v>0.04</v>
      </c>
      <c r="E53" s="131">
        <f t="shared" si="6"/>
        <v>1.8763486255746317E-3</v>
      </c>
    </row>
    <row r="54" spans="2:7">
      <c r="B54" s="122" t="s">
        <v>77</v>
      </c>
      <c r="C54" s="133">
        <v>1</v>
      </c>
      <c r="D54" s="133">
        <v>1.776</v>
      </c>
      <c r="E54" s="131">
        <f t="shared" si="6"/>
        <v>0.33330987897551367</v>
      </c>
    </row>
    <row r="55" spans="2:7">
      <c r="B55" s="122" t="s">
        <v>78</v>
      </c>
      <c r="C55" s="133">
        <v>0</v>
      </c>
      <c r="D55" s="133">
        <v>0.8</v>
      </c>
      <c r="E55" s="131">
        <f t="shared" si="6"/>
        <v>3.7526972511492639E-2</v>
      </c>
    </row>
    <row r="56" spans="2:7">
      <c r="B56" s="134" t="s">
        <v>79</v>
      </c>
      <c r="C56" s="133">
        <v>0</v>
      </c>
      <c r="D56" s="135">
        <v>2.74</v>
      </c>
      <c r="E56" s="131">
        <f t="shared" si="6"/>
        <v>0.12852988085186229</v>
      </c>
    </row>
    <row r="57" spans="2:7" ht="13.5" thickBot="1">
      <c r="B57" s="122" t="s">
        <v>84</v>
      </c>
      <c r="C57" s="133">
        <v>0</v>
      </c>
      <c r="D57" s="133">
        <v>0.80300000000000005</v>
      </c>
      <c r="E57" s="131">
        <f t="shared" si="6"/>
        <v>3.7667698658410735E-2</v>
      </c>
    </row>
    <row r="58" spans="2:7" ht="13.5" thickBot="1">
      <c r="B58" s="127" t="s">
        <v>85</v>
      </c>
      <c r="C58" s="128">
        <f>SUM(C51:C57)</f>
        <v>2</v>
      </c>
      <c r="D58" s="129">
        <f>SUM(D51:D57)</f>
        <v>10.659000000000001</v>
      </c>
      <c r="E58" s="130">
        <f>SUM(E51:E57)</f>
        <v>0.99999999999999989</v>
      </c>
      <c r="G58" s="125"/>
    </row>
    <row r="60" spans="2:7" ht="25.5">
      <c r="C60" s="6" t="s">
        <v>164</v>
      </c>
      <c r="D60" s="50" t="s">
        <v>164</v>
      </c>
      <c r="G60" s="123"/>
    </row>
  </sheetData>
  <mergeCells count="15">
    <mergeCell ref="H20:I20"/>
    <mergeCell ref="F2:F3"/>
    <mergeCell ref="H18:I18"/>
    <mergeCell ref="B25:E25"/>
    <mergeCell ref="G2:G3"/>
    <mergeCell ref="C2:C3"/>
    <mergeCell ref="D2:D3"/>
    <mergeCell ref="B27:E27"/>
    <mergeCell ref="B2:B3"/>
    <mergeCell ref="B18:C18"/>
    <mergeCell ref="C49:E49"/>
    <mergeCell ref="B31:E31"/>
    <mergeCell ref="B26:E26"/>
    <mergeCell ref="B28:E28"/>
    <mergeCell ref="B29:E29"/>
  </mergeCells>
  <phoneticPr fontId="17" type="noConversion"/>
  <pageMargins left="0.25" right="0.25" top="0.75" bottom="0.75" header="0.3" footer="0.3"/>
  <pageSetup paperSize="8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17"/>
  <sheetViews>
    <sheetView zoomScale="90" zoomScaleNormal="90" workbookViewId="0">
      <selection activeCell="F17" sqref="F17"/>
    </sheetView>
  </sheetViews>
  <sheetFormatPr baseColWidth="10" defaultColWidth="11.42578125" defaultRowHeight="12.75"/>
  <cols>
    <col min="1" max="1" width="4.28515625" style="3" customWidth="1"/>
    <col min="2" max="2" width="24" style="3" customWidth="1"/>
    <col min="3" max="3" width="13.7109375" style="3" customWidth="1"/>
    <col min="4" max="5" width="11.42578125" style="3"/>
    <col min="6" max="8" width="10.85546875" style="3" customWidth="1"/>
    <col min="9" max="16384" width="11.42578125" style="3"/>
  </cols>
  <sheetData>
    <row r="2" spans="2:14" ht="13.5" thickBot="1"/>
    <row r="3" spans="2:14" ht="16.149999999999999" customHeight="1" thickBot="1">
      <c r="B3" s="445" t="s">
        <v>193</v>
      </c>
      <c r="C3" s="442" t="s">
        <v>97</v>
      </c>
      <c r="D3" s="443"/>
      <c r="E3" s="443"/>
      <c r="F3" s="443"/>
      <c r="G3" s="443"/>
      <c r="H3" s="443"/>
      <c r="I3" s="443"/>
      <c r="J3" s="443"/>
      <c r="K3" s="443"/>
      <c r="L3" s="444"/>
    </row>
    <row r="4" spans="2:14" ht="15" thickBot="1">
      <c r="B4" s="446"/>
      <c r="C4" s="439" t="s">
        <v>126</v>
      </c>
      <c r="D4" s="440"/>
      <c r="E4" s="440"/>
      <c r="F4" s="440"/>
      <c r="G4" s="441"/>
      <c r="H4" s="442" t="s">
        <v>127</v>
      </c>
      <c r="I4" s="443"/>
      <c r="J4" s="443"/>
      <c r="K4" s="443"/>
      <c r="L4" s="444"/>
    </row>
    <row r="5" spans="2:14" ht="13.5" thickBot="1">
      <c r="B5" s="447"/>
      <c r="C5" s="152">
        <v>2020</v>
      </c>
      <c r="D5" s="151">
        <v>2021</v>
      </c>
      <c r="E5" s="151">
        <v>2022</v>
      </c>
      <c r="F5" s="151">
        <v>2023</v>
      </c>
      <c r="G5" s="216" t="s">
        <v>32</v>
      </c>
      <c r="H5" s="111">
        <v>2020</v>
      </c>
      <c r="I5" s="224">
        <v>2021</v>
      </c>
      <c r="J5" s="224">
        <v>2022</v>
      </c>
      <c r="K5" s="224">
        <v>2023</v>
      </c>
      <c r="L5" s="226" t="s">
        <v>32</v>
      </c>
    </row>
    <row r="6" spans="2:14">
      <c r="B6" s="220" t="s">
        <v>153</v>
      </c>
      <c r="C6" s="170">
        <v>109824</v>
      </c>
      <c r="D6" s="171">
        <v>92325</v>
      </c>
      <c r="E6" s="172">
        <v>99542</v>
      </c>
      <c r="F6" s="173">
        <v>63330</v>
      </c>
      <c r="G6" s="217">
        <f>AVERAGE(C6:F6)</f>
        <v>91255.25</v>
      </c>
      <c r="H6" s="225">
        <f>C6/30.4</f>
        <v>3612.6315789473688</v>
      </c>
      <c r="I6" s="92">
        <f>D6/30.4</f>
        <v>3037.0065789473688</v>
      </c>
      <c r="J6" s="92">
        <f t="shared" ref="J6" si="0">E6/30.4</f>
        <v>3274.4078947368421</v>
      </c>
      <c r="K6" s="92">
        <f t="shared" ref="K6" si="1">F6/30.4</f>
        <v>2083.2236842105262</v>
      </c>
      <c r="L6" s="144">
        <f>AVERAGE(H6:K6)</f>
        <v>3001.8174342105267</v>
      </c>
      <c r="N6" s="164"/>
    </row>
    <row r="7" spans="2:14">
      <c r="B7" s="221" t="s">
        <v>76</v>
      </c>
      <c r="C7" s="166">
        <v>57307</v>
      </c>
      <c r="D7" s="141">
        <v>56626</v>
      </c>
      <c r="E7" s="115">
        <v>77696</v>
      </c>
      <c r="F7" s="114">
        <v>56086</v>
      </c>
      <c r="G7" s="218">
        <f t="shared" ref="G7:G13" si="2">AVERAGE(C7:F7)</f>
        <v>61928.75</v>
      </c>
      <c r="H7" s="169">
        <f t="shared" ref="H7:H13" si="3">C7/30.4</f>
        <v>1885.0986842105265</v>
      </c>
      <c r="I7" s="51">
        <f t="shared" ref="I7:I13" si="4">D7/30.4</f>
        <v>1862.6973684210527</v>
      </c>
      <c r="J7" s="51">
        <f t="shared" ref="J7:J13" si="5">E7/30.4</f>
        <v>2555.7894736842109</v>
      </c>
      <c r="K7" s="51">
        <f t="shared" ref="K7:K13" si="6">F7/30.4</f>
        <v>1844.9342105263158</v>
      </c>
      <c r="L7" s="218">
        <f t="shared" ref="L7:L13" si="7">AVERAGE(H7:K7)</f>
        <v>2037.1299342105265</v>
      </c>
    </row>
    <row r="8" spans="2:14">
      <c r="B8" s="221" t="s">
        <v>77</v>
      </c>
      <c r="C8" s="166">
        <v>24765</v>
      </c>
      <c r="D8" s="141">
        <v>22693</v>
      </c>
      <c r="E8" s="115">
        <v>23926</v>
      </c>
      <c r="F8" s="114">
        <v>24825</v>
      </c>
      <c r="G8" s="218">
        <f t="shared" si="2"/>
        <v>24052.25</v>
      </c>
      <c r="H8" s="169">
        <f t="shared" si="3"/>
        <v>814.63815789473688</v>
      </c>
      <c r="I8" s="51">
        <f t="shared" si="4"/>
        <v>746.4802631578948</v>
      </c>
      <c r="J8" s="51">
        <f t="shared" si="5"/>
        <v>787.03947368421052</v>
      </c>
      <c r="K8" s="51">
        <f t="shared" si="6"/>
        <v>816.61184210526324</v>
      </c>
      <c r="L8" s="218">
        <f t="shared" si="7"/>
        <v>791.19243421052636</v>
      </c>
    </row>
    <row r="9" spans="2:14">
      <c r="B9" s="221" t="s">
        <v>78</v>
      </c>
      <c r="C9" s="166">
        <v>16625</v>
      </c>
      <c r="D9" s="141">
        <v>15423</v>
      </c>
      <c r="E9" s="115">
        <v>14884</v>
      </c>
      <c r="F9" s="114">
        <v>14060</v>
      </c>
      <c r="G9" s="218">
        <f t="shared" si="2"/>
        <v>15248</v>
      </c>
      <c r="H9" s="169">
        <f t="shared" si="3"/>
        <v>546.875</v>
      </c>
      <c r="I9" s="51">
        <f t="shared" si="4"/>
        <v>507.33552631578948</v>
      </c>
      <c r="J9" s="51">
        <f t="shared" si="5"/>
        <v>489.60526315789474</v>
      </c>
      <c r="K9" s="51">
        <f t="shared" si="6"/>
        <v>462.5</v>
      </c>
      <c r="L9" s="218">
        <f t="shared" si="7"/>
        <v>501.5789473684211</v>
      </c>
    </row>
    <row r="10" spans="2:14">
      <c r="B10" s="221" t="s">
        <v>79</v>
      </c>
      <c r="C10" s="166">
        <v>10118</v>
      </c>
      <c r="D10" s="142">
        <v>11250</v>
      </c>
      <c r="E10" s="115">
        <v>9213</v>
      </c>
      <c r="F10" s="114">
        <v>9271</v>
      </c>
      <c r="G10" s="218">
        <f t="shared" si="2"/>
        <v>9963</v>
      </c>
      <c r="H10" s="169">
        <f t="shared" si="3"/>
        <v>332.82894736842104</v>
      </c>
      <c r="I10" s="51">
        <f t="shared" si="4"/>
        <v>370.06578947368422</v>
      </c>
      <c r="J10" s="51">
        <f t="shared" si="5"/>
        <v>303.05921052631578</v>
      </c>
      <c r="K10" s="51">
        <f t="shared" si="6"/>
        <v>304.96710526315792</v>
      </c>
      <c r="L10" s="218">
        <f t="shared" si="7"/>
        <v>327.73026315789474</v>
      </c>
    </row>
    <row r="11" spans="2:14" ht="14.25">
      <c r="B11" s="221" t="s">
        <v>83</v>
      </c>
      <c r="C11" s="166">
        <v>14943</v>
      </c>
      <c r="D11" s="143">
        <v>25065</v>
      </c>
      <c r="E11" s="116">
        <v>35000</v>
      </c>
      <c r="F11" s="114">
        <v>29097</v>
      </c>
      <c r="G11" s="218">
        <f t="shared" si="2"/>
        <v>26026.25</v>
      </c>
      <c r="H11" s="169">
        <f t="shared" si="3"/>
        <v>491.54605263157896</v>
      </c>
      <c r="I11" s="51">
        <f t="shared" si="4"/>
        <v>824.50657894736844</v>
      </c>
      <c r="J11" s="51">
        <f t="shared" si="5"/>
        <v>1151.3157894736842</v>
      </c>
      <c r="K11" s="51">
        <f t="shared" si="6"/>
        <v>957.13815789473688</v>
      </c>
      <c r="L11" s="218">
        <f t="shared" si="7"/>
        <v>856.12664473684208</v>
      </c>
    </row>
    <row r="12" spans="2:14">
      <c r="B12" s="221" t="s">
        <v>25</v>
      </c>
      <c r="C12" s="166">
        <v>12878</v>
      </c>
      <c r="D12" s="141">
        <v>7566</v>
      </c>
      <c r="E12" s="115">
        <v>9739</v>
      </c>
      <c r="F12" s="114">
        <v>7364</v>
      </c>
      <c r="G12" s="218">
        <f t="shared" si="2"/>
        <v>9386.75</v>
      </c>
      <c r="H12" s="169">
        <f t="shared" si="3"/>
        <v>423.61842105263162</v>
      </c>
      <c r="I12" s="51">
        <f t="shared" si="4"/>
        <v>248.88157894736844</v>
      </c>
      <c r="J12" s="51">
        <f t="shared" si="5"/>
        <v>320.36184210526318</v>
      </c>
      <c r="K12" s="51">
        <f t="shared" si="6"/>
        <v>242.23684210526318</v>
      </c>
      <c r="L12" s="218">
        <f t="shared" si="7"/>
        <v>308.77467105263156</v>
      </c>
    </row>
    <row r="13" spans="2:14" ht="15" thickBot="1">
      <c r="B13" s="222" t="s">
        <v>84</v>
      </c>
      <c r="C13" s="174">
        <v>13334</v>
      </c>
      <c r="D13" s="175">
        <v>8814</v>
      </c>
      <c r="E13" s="176">
        <v>9451</v>
      </c>
      <c r="F13" s="177">
        <v>6357</v>
      </c>
      <c r="G13" s="219">
        <f t="shared" si="2"/>
        <v>9489</v>
      </c>
      <c r="H13" s="178">
        <f t="shared" si="3"/>
        <v>438.61842105263162</v>
      </c>
      <c r="I13" s="179">
        <f t="shared" si="4"/>
        <v>289.93421052631578</v>
      </c>
      <c r="J13" s="179">
        <f t="shared" si="5"/>
        <v>310.88815789473688</v>
      </c>
      <c r="K13" s="179">
        <f t="shared" si="6"/>
        <v>209.11184210526318</v>
      </c>
      <c r="L13" s="219">
        <f t="shared" si="7"/>
        <v>312.13815789473682</v>
      </c>
    </row>
    <row r="14" spans="2:14" ht="13.5" thickBot="1">
      <c r="G14" s="66"/>
      <c r="H14" s="66"/>
    </row>
    <row r="15" spans="2:14" ht="13.5" thickBot="1">
      <c r="B15" s="223" t="s">
        <v>85</v>
      </c>
      <c r="C15" s="96">
        <f>SUM(C5:C13)</f>
        <v>261814</v>
      </c>
      <c r="D15" s="214">
        <f>SUM(D6:D13)</f>
        <v>239762</v>
      </c>
      <c r="E15" s="96">
        <f>SUM(E6:E13)</f>
        <v>279451</v>
      </c>
      <c r="F15" s="215">
        <f>SUM(F6:F13)</f>
        <v>210390</v>
      </c>
      <c r="G15" s="66"/>
      <c r="H15" s="66"/>
    </row>
    <row r="17" spans="6:6">
      <c r="F17" s="165"/>
    </row>
  </sheetData>
  <mergeCells count="4">
    <mergeCell ref="C4:G4"/>
    <mergeCell ref="H4:L4"/>
    <mergeCell ref="C3:L3"/>
    <mergeCell ref="B3:B5"/>
  </mergeCells>
  <phoneticPr fontId="17" type="noConversion"/>
  <pageMargins left="0.7" right="0.7" top="0.75" bottom="0.75" header="0.3" footer="0.3"/>
  <pageSetup paperSize="9" orientation="portrait" horizontalDpi="1200" verticalDpi="1200" r:id="rId1"/>
  <ignoredErrors>
    <ignoredError sqref="D15:F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7"/>
  <sheetViews>
    <sheetView workbookViewId="0">
      <selection activeCell="I8" sqref="I8"/>
    </sheetView>
  </sheetViews>
  <sheetFormatPr baseColWidth="10" defaultColWidth="11.42578125" defaultRowHeight="12.75"/>
  <cols>
    <col min="1" max="1" width="3.7109375" customWidth="1"/>
    <col min="2" max="2" width="32.85546875" bestFit="1" customWidth="1"/>
    <col min="3" max="6" width="15.28515625" customWidth="1"/>
    <col min="7" max="7" width="15.42578125" customWidth="1"/>
    <col min="8" max="9" width="17.42578125" customWidth="1"/>
    <col min="10" max="10" width="4" customWidth="1"/>
  </cols>
  <sheetData>
    <row r="2" spans="2:9">
      <c r="B2" t="s">
        <v>128</v>
      </c>
      <c r="C2" s="58">
        <v>4.1000000000000002E-2</v>
      </c>
      <c r="D2" t="s">
        <v>154</v>
      </c>
    </row>
    <row r="3" spans="2:9">
      <c r="B3" t="s">
        <v>129</v>
      </c>
      <c r="C3" s="58">
        <v>15.5</v>
      </c>
    </row>
    <row r="4" spans="2:9">
      <c r="B4" t="s">
        <v>130</v>
      </c>
      <c r="C4" s="58">
        <v>3.9</v>
      </c>
    </row>
    <row r="5" spans="2:9">
      <c r="B5" t="s">
        <v>131</v>
      </c>
      <c r="C5" s="58">
        <v>0.15</v>
      </c>
    </row>
    <row r="6" spans="2:9" ht="13.5" thickBot="1"/>
    <row r="7" spans="2:9" ht="87" customHeight="1" thickBot="1">
      <c r="B7" s="111" t="s">
        <v>3</v>
      </c>
      <c r="C7" s="103" t="s">
        <v>103</v>
      </c>
      <c r="D7" s="103" t="s">
        <v>118</v>
      </c>
      <c r="E7" s="103" t="s">
        <v>105</v>
      </c>
      <c r="F7" s="112" t="s">
        <v>104</v>
      </c>
      <c r="G7" s="103" t="s">
        <v>116</v>
      </c>
      <c r="H7" s="103" t="s">
        <v>115</v>
      </c>
      <c r="I7" s="112" t="s">
        <v>201</v>
      </c>
    </row>
    <row r="8" spans="2:9">
      <c r="B8" s="91" t="s">
        <v>75</v>
      </c>
      <c r="C8" s="92">
        <v>757376.66666666663</v>
      </c>
      <c r="D8" s="92"/>
      <c r="E8" s="52">
        <v>1278.33</v>
      </c>
      <c r="F8" s="53">
        <v>4290</v>
      </c>
      <c r="G8" s="68">
        <f t="shared" ref="G8:G12" si="0">C8*$C$2</f>
        <v>31052.443333333333</v>
      </c>
      <c r="H8" s="68">
        <f>E8*$C$4</f>
        <v>4985.4869999999992</v>
      </c>
      <c r="I8" s="68">
        <f>F8*$C$5</f>
        <v>643.5</v>
      </c>
    </row>
    <row r="9" spans="2:9">
      <c r="B9" s="93" t="s">
        <v>76</v>
      </c>
      <c r="C9" s="51">
        <v>628913.33333333326</v>
      </c>
      <c r="D9" s="51"/>
      <c r="E9" s="21">
        <v>1510</v>
      </c>
      <c r="F9" s="20">
        <v>1527.3333333333333</v>
      </c>
      <c r="G9" s="67">
        <f t="shared" si="0"/>
        <v>25785.446666666663</v>
      </c>
      <c r="H9" s="67">
        <f t="shared" ref="H9:H12" si="1">E9*$C$4</f>
        <v>5889</v>
      </c>
      <c r="I9" s="67">
        <f t="shared" ref="I9:I12" si="2">F9*$C$5</f>
        <v>229.1</v>
      </c>
    </row>
    <row r="10" spans="2:9">
      <c r="B10" s="93" t="s">
        <v>77</v>
      </c>
      <c r="C10" s="51">
        <v>376280</v>
      </c>
      <c r="D10" s="51"/>
      <c r="E10" s="21">
        <v>750</v>
      </c>
      <c r="F10" s="20">
        <v>25000</v>
      </c>
      <c r="G10" s="67">
        <f t="shared" si="0"/>
        <v>15427.480000000001</v>
      </c>
      <c r="H10" s="67">
        <f t="shared" si="1"/>
        <v>2925</v>
      </c>
      <c r="I10" s="67">
        <f t="shared" si="2"/>
        <v>3750</v>
      </c>
    </row>
    <row r="11" spans="2:9">
      <c r="B11" s="93" t="s">
        <v>78</v>
      </c>
      <c r="C11" s="51">
        <v>68780</v>
      </c>
      <c r="D11" s="51"/>
      <c r="E11" s="21">
        <v>130</v>
      </c>
      <c r="F11" s="20"/>
      <c r="G11" s="67">
        <f t="shared" si="0"/>
        <v>2819.98</v>
      </c>
      <c r="H11" s="67">
        <f t="shared" si="1"/>
        <v>507</v>
      </c>
      <c r="I11" s="67">
        <f t="shared" si="2"/>
        <v>0</v>
      </c>
    </row>
    <row r="12" spans="2:9">
      <c r="B12" s="93" t="s">
        <v>79</v>
      </c>
      <c r="C12" s="51">
        <v>106450</v>
      </c>
      <c r="D12" s="51"/>
      <c r="E12" s="21">
        <v>191.5</v>
      </c>
      <c r="F12" s="20"/>
      <c r="G12" s="67">
        <f t="shared" si="0"/>
        <v>4364.45</v>
      </c>
      <c r="H12" s="67">
        <f t="shared" si="1"/>
        <v>746.85</v>
      </c>
      <c r="I12" s="67">
        <f t="shared" si="2"/>
        <v>0</v>
      </c>
    </row>
    <row r="13" spans="2:9">
      <c r="B13" s="93" t="s">
        <v>80</v>
      </c>
      <c r="C13" s="70"/>
      <c r="D13" s="51">
        <v>1060</v>
      </c>
      <c r="E13" s="20"/>
      <c r="F13" s="20"/>
      <c r="G13" s="67">
        <f>D13*$C$3</f>
        <v>16430</v>
      </c>
      <c r="H13" s="67"/>
      <c r="I13" s="67"/>
    </row>
    <row r="14" spans="2:9">
      <c r="B14" s="93" t="s">
        <v>81</v>
      </c>
      <c r="C14" s="70"/>
      <c r="D14" s="51">
        <v>142</v>
      </c>
      <c r="E14" s="20"/>
      <c r="F14" s="20"/>
      <c r="G14" s="67">
        <f t="shared" ref="G14:G15" si="3">D14*$C$3</f>
        <v>2201</v>
      </c>
      <c r="H14" s="67"/>
      <c r="I14" s="67"/>
    </row>
    <row r="15" spans="2:9">
      <c r="B15" s="93" t="s">
        <v>82</v>
      </c>
      <c r="C15" s="70"/>
      <c r="D15" s="51">
        <v>308</v>
      </c>
      <c r="E15" s="20"/>
      <c r="F15" s="20"/>
      <c r="G15" s="67">
        <f t="shared" si="3"/>
        <v>4774</v>
      </c>
      <c r="H15" s="67"/>
      <c r="I15" s="67"/>
    </row>
    <row r="17" spans="3:9">
      <c r="C17" s="61">
        <f t="shared" ref="C17:I17" si="4">SUM(C8:C16)</f>
        <v>1937800</v>
      </c>
      <c r="D17" s="61">
        <f t="shared" si="4"/>
        <v>1510</v>
      </c>
      <c r="E17" s="61">
        <f t="shared" si="4"/>
        <v>3859.83</v>
      </c>
      <c r="F17" s="61">
        <f t="shared" si="4"/>
        <v>30817.333333333332</v>
      </c>
      <c r="G17" s="61">
        <f t="shared" si="4"/>
        <v>102854.79999999999</v>
      </c>
      <c r="H17" s="61">
        <f t="shared" si="4"/>
        <v>15053.337</v>
      </c>
      <c r="I17" s="61">
        <f t="shared" si="4"/>
        <v>4622.6000000000004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CB0A-6938-4AFE-9DFD-B79587F584EB}">
  <dimension ref="B1:Q30"/>
  <sheetViews>
    <sheetView workbookViewId="0">
      <pane xSplit="2" topLeftCell="C1" activePane="topRight" state="frozen"/>
      <selection pane="topRight" activeCell="E15" sqref="E15"/>
    </sheetView>
  </sheetViews>
  <sheetFormatPr baseColWidth="10" defaultColWidth="11.42578125" defaultRowHeight="12.75"/>
  <cols>
    <col min="1" max="1" width="2.28515625" style="3" customWidth="1"/>
    <col min="2" max="2" width="32.85546875" style="7" customWidth="1"/>
    <col min="3" max="3" width="22.140625" style="3" customWidth="1"/>
    <col min="4" max="4" width="20.140625" style="3" customWidth="1"/>
    <col min="5" max="5" width="36.85546875" style="3" customWidth="1"/>
    <col min="6" max="6" width="18.85546875" style="3" customWidth="1"/>
    <col min="7" max="7" width="33.28515625" style="3" customWidth="1"/>
    <col min="8" max="8" width="14.140625" style="3" customWidth="1"/>
    <col min="9" max="9" width="11.42578125" style="3" customWidth="1"/>
    <col min="10" max="10" width="16.140625" style="3" customWidth="1"/>
    <col min="11" max="11" width="11.42578125" style="3"/>
    <col min="12" max="12" width="14.28515625" style="3" customWidth="1"/>
    <col min="13" max="13" width="2.7109375" style="3" customWidth="1"/>
    <col min="14" max="14" width="13.5703125" style="3" customWidth="1"/>
    <col min="15" max="17" width="13.140625" style="3" customWidth="1"/>
    <col min="18" max="18" width="11.42578125" style="3"/>
    <col min="19" max="19" width="18.28515625" style="3" customWidth="1"/>
    <col min="20" max="16384" width="11.42578125" style="3"/>
  </cols>
  <sheetData>
    <row r="1" spans="2:17" ht="13.5" thickBot="1">
      <c r="N1" s="54" t="s">
        <v>106</v>
      </c>
    </row>
    <row r="2" spans="2:17" ht="13.15" customHeight="1">
      <c r="N2" s="448" t="s">
        <v>107</v>
      </c>
      <c r="O2" s="450" t="s">
        <v>203</v>
      </c>
      <c r="P2" s="50"/>
    </row>
    <row r="3" spans="2:17" s="8" customFormat="1" ht="54.6" customHeight="1" thickBot="1">
      <c r="B3" s="9" t="s">
        <v>3</v>
      </c>
      <c r="C3" s="1" t="s">
        <v>33</v>
      </c>
      <c r="D3" s="1" t="s">
        <v>35</v>
      </c>
      <c r="E3" s="1" t="s">
        <v>34</v>
      </c>
      <c r="F3" s="1" t="s">
        <v>36</v>
      </c>
      <c r="G3" s="1" t="s">
        <v>37</v>
      </c>
      <c r="H3" s="55" t="s">
        <v>38</v>
      </c>
      <c r="I3" s="55" t="s">
        <v>108</v>
      </c>
      <c r="J3" s="55" t="s">
        <v>109</v>
      </c>
      <c r="K3" s="5" t="s">
        <v>71</v>
      </c>
      <c r="L3" s="5" t="s">
        <v>72</v>
      </c>
      <c r="N3" s="449"/>
      <c r="O3" s="451"/>
      <c r="P3" s="50"/>
    </row>
    <row r="4" spans="2:17" s="8" customFormat="1" ht="25.5">
      <c r="B4" s="10" t="s">
        <v>39</v>
      </c>
      <c r="C4" s="56" t="s">
        <v>40</v>
      </c>
      <c r="D4" s="11" t="s">
        <v>41</v>
      </c>
      <c r="E4" s="364" t="s">
        <v>213</v>
      </c>
      <c r="F4" s="56">
        <v>554421331</v>
      </c>
      <c r="G4" s="56" t="s">
        <v>42</v>
      </c>
      <c r="H4" s="12" t="s">
        <v>43</v>
      </c>
      <c r="I4" s="13">
        <v>479816</v>
      </c>
      <c r="J4" s="13">
        <v>38369</v>
      </c>
      <c r="K4" s="17">
        <f>+I4/SQRT(POWER(I4,2)+POWER(J4,2))</f>
        <v>0.99681796649964083</v>
      </c>
      <c r="L4" s="18" t="b">
        <f>IF(K4&lt;0.95,"SI")</f>
        <v>0</v>
      </c>
      <c r="N4" s="113">
        <v>6058.6467741935494</v>
      </c>
      <c r="O4" s="113">
        <f>I4*0.2</f>
        <v>95963.200000000012</v>
      </c>
      <c r="P4" s="59"/>
    </row>
    <row r="5" spans="2:17" s="8" customFormat="1" ht="25.5">
      <c r="B5" s="10" t="s">
        <v>46</v>
      </c>
      <c r="C5" s="11" t="s">
        <v>44</v>
      </c>
      <c r="D5" s="11" t="s">
        <v>41</v>
      </c>
      <c r="E5" s="364" t="s">
        <v>214</v>
      </c>
      <c r="F5" s="14">
        <v>82033803703</v>
      </c>
      <c r="G5" s="11" t="s">
        <v>47</v>
      </c>
      <c r="H5" s="12" t="s">
        <v>48</v>
      </c>
      <c r="I5" s="13">
        <v>376832</v>
      </c>
      <c r="J5" s="13">
        <v>28534</v>
      </c>
      <c r="K5" s="17">
        <f t="shared" ref="K5:K13" si="0">+I5/SQRT(POWER(I5,2)+POWER(J5,2))</f>
        <v>0.99714545368283003</v>
      </c>
      <c r="L5" s="18" t="b">
        <f t="shared" ref="L5:L13" si="1">IF(K5&lt;0.95,"SI")</f>
        <v>0</v>
      </c>
      <c r="N5" s="73">
        <v>2870.5483870967746</v>
      </c>
      <c r="O5" s="113">
        <f t="shared" ref="O5:O13" si="2">I5*0.2</f>
        <v>75366.400000000009</v>
      </c>
      <c r="P5" s="59"/>
    </row>
    <row r="6" spans="2:17" s="8" customFormat="1" ht="25.5">
      <c r="B6" s="10" t="s">
        <v>49</v>
      </c>
      <c r="C6" s="11" t="s">
        <v>44</v>
      </c>
      <c r="D6" s="11" t="s">
        <v>41</v>
      </c>
      <c r="E6" s="364" t="s">
        <v>215</v>
      </c>
      <c r="F6" s="14">
        <v>82033803663</v>
      </c>
      <c r="G6" s="11" t="s">
        <v>50</v>
      </c>
      <c r="H6" s="12" t="s">
        <v>45</v>
      </c>
      <c r="I6" s="13">
        <v>94335</v>
      </c>
      <c r="J6" s="13">
        <v>9878</v>
      </c>
      <c r="K6" s="17">
        <f t="shared" si="0"/>
        <v>0.99456238107038464</v>
      </c>
      <c r="L6" s="18" t="b">
        <f t="shared" si="1"/>
        <v>0</v>
      </c>
      <c r="N6" s="73">
        <v>1264.3129032258064</v>
      </c>
      <c r="O6" s="113">
        <f t="shared" si="2"/>
        <v>18867</v>
      </c>
      <c r="P6" s="59"/>
    </row>
    <row r="7" spans="2:17" s="8" customFormat="1" ht="25.5">
      <c r="B7" s="10" t="s">
        <v>51</v>
      </c>
      <c r="C7" s="11" t="s">
        <v>44</v>
      </c>
      <c r="D7" s="11" t="s">
        <v>41</v>
      </c>
      <c r="E7" s="364" t="s">
        <v>216</v>
      </c>
      <c r="F7" s="14">
        <v>82033803722</v>
      </c>
      <c r="G7" s="11" t="s">
        <v>52</v>
      </c>
      <c r="H7" s="12" t="s">
        <v>53</v>
      </c>
      <c r="I7" s="13">
        <v>86737</v>
      </c>
      <c r="J7" s="13">
        <v>11244</v>
      </c>
      <c r="K7" s="17">
        <f t="shared" si="0"/>
        <v>0.99170204777592619</v>
      </c>
      <c r="L7" s="18" t="b">
        <f t="shared" si="1"/>
        <v>0</v>
      </c>
      <c r="N7" s="73">
        <v>650.75967741935483</v>
      </c>
      <c r="O7" s="113">
        <f t="shared" si="2"/>
        <v>17347.400000000001</v>
      </c>
      <c r="P7" s="59"/>
    </row>
    <row r="8" spans="2:17" s="8" customFormat="1" ht="25.5">
      <c r="B8" s="10" t="s">
        <v>54</v>
      </c>
      <c r="C8" s="11" t="s">
        <v>44</v>
      </c>
      <c r="D8" s="11" t="s">
        <v>41</v>
      </c>
      <c r="E8" s="364" t="s">
        <v>217</v>
      </c>
      <c r="F8" s="15">
        <v>82033266729</v>
      </c>
      <c r="G8" s="15" t="s">
        <v>55</v>
      </c>
      <c r="H8" s="12" t="s">
        <v>56</v>
      </c>
      <c r="I8" s="13">
        <v>231732</v>
      </c>
      <c r="J8" s="13">
        <v>32308</v>
      </c>
      <c r="K8" s="17">
        <f t="shared" si="0"/>
        <v>0.99042050668068826</v>
      </c>
      <c r="L8" s="18" t="b">
        <f t="shared" si="1"/>
        <v>0</v>
      </c>
      <c r="N8" s="73">
        <v>3827.0838709677423</v>
      </c>
      <c r="O8" s="113">
        <f t="shared" si="2"/>
        <v>46346.400000000001</v>
      </c>
      <c r="P8" s="59"/>
    </row>
    <row r="9" spans="2:17" s="8" customFormat="1" ht="25.5">
      <c r="B9" s="10" t="s">
        <v>57</v>
      </c>
      <c r="C9" s="11" t="s">
        <v>44</v>
      </c>
      <c r="D9" s="11" t="s">
        <v>41</v>
      </c>
      <c r="E9" s="364" t="s">
        <v>218</v>
      </c>
      <c r="F9" s="15">
        <v>82033267101</v>
      </c>
      <c r="G9" s="15" t="s">
        <v>58</v>
      </c>
      <c r="H9" s="12" t="s">
        <v>59</v>
      </c>
      <c r="I9" s="13">
        <v>13591</v>
      </c>
      <c r="J9" s="13">
        <v>423</v>
      </c>
      <c r="K9" s="17">
        <f t="shared" si="0"/>
        <v>0.99951601429265946</v>
      </c>
      <c r="L9" s="18" t="b">
        <f t="shared" si="1"/>
        <v>0</v>
      </c>
      <c r="N9" s="73">
        <v>690.4387096774193</v>
      </c>
      <c r="O9" s="113">
        <f t="shared" si="2"/>
        <v>2718.2000000000003</v>
      </c>
      <c r="P9" s="59"/>
    </row>
    <row r="10" spans="2:17" ht="25.5">
      <c r="B10" s="10" t="s">
        <v>60</v>
      </c>
      <c r="C10" s="11" t="s">
        <v>44</v>
      </c>
      <c r="D10" s="11" t="s">
        <v>41</v>
      </c>
      <c r="E10" s="364" t="s">
        <v>219</v>
      </c>
      <c r="F10" s="15">
        <v>82033267264</v>
      </c>
      <c r="G10" s="15" t="s">
        <v>61</v>
      </c>
      <c r="H10" s="12" t="s">
        <v>62</v>
      </c>
      <c r="I10" s="13">
        <v>109474</v>
      </c>
      <c r="J10" s="16">
        <v>431</v>
      </c>
      <c r="K10" s="17">
        <f t="shared" si="0"/>
        <v>0.99999225007459291</v>
      </c>
      <c r="L10" s="18" t="b">
        <f t="shared" si="1"/>
        <v>0</v>
      </c>
      <c r="N10" s="74">
        <v>1530.7629032258062</v>
      </c>
      <c r="O10" s="113">
        <f t="shared" si="2"/>
        <v>21894.800000000003</v>
      </c>
      <c r="P10" s="60"/>
      <c r="Q10" s="8"/>
    </row>
    <row r="11" spans="2:17" ht="25.5">
      <c r="B11" s="10" t="s">
        <v>63</v>
      </c>
      <c r="C11" s="11" t="s">
        <v>44</v>
      </c>
      <c r="D11" s="11" t="s">
        <v>41</v>
      </c>
      <c r="E11" s="364" t="s">
        <v>220</v>
      </c>
      <c r="F11" s="14" t="s">
        <v>64</v>
      </c>
      <c r="G11" s="11" t="s">
        <v>65</v>
      </c>
      <c r="H11" s="12" t="s">
        <v>45</v>
      </c>
      <c r="I11" s="13">
        <v>158805</v>
      </c>
      <c r="J11" s="16">
        <v>14915</v>
      </c>
      <c r="K11" s="17">
        <f t="shared" si="0"/>
        <v>0.99561846242121466</v>
      </c>
      <c r="L11" s="18" t="b">
        <f t="shared" si="1"/>
        <v>0</v>
      </c>
      <c r="N11" s="74">
        <v>1205.5596774193548</v>
      </c>
      <c r="O11" s="113">
        <f t="shared" si="2"/>
        <v>31761</v>
      </c>
      <c r="P11" s="60"/>
      <c r="Q11" s="8"/>
    </row>
    <row r="12" spans="2:17" ht="38.25">
      <c r="B12" s="10" t="s">
        <v>66</v>
      </c>
      <c r="C12" s="11" t="s">
        <v>44</v>
      </c>
      <c r="D12" s="11" t="s">
        <v>41</v>
      </c>
      <c r="E12" s="364" t="s">
        <v>221</v>
      </c>
      <c r="F12" s="14">
        <v>82035653891</v>
      </c>
      <c r="G12" s="11" t="s">
        <v>67</v>
      </c>
      <c r="H12" s="12">
        <v>43202</v>
      </c>
      <c r="I12" s="13">
        <v>74433</v>
      </c>
      <c r="J12" s="16">
        <v>1972</v>
      </c>
      <c r="K12" s="17">
        <f t="shared" si="0"/>
        <v>0.99964922856074678</v>
      </c>
      <c r="L12" s="18" t="b">
        <f t="shared" si="1"/>
        <v>0</v>
      </c>
      <c r="N12" s="74">
        <v>1193.3145161290322</v>
      </c>
      <c r="O12" s="113">
        <f t="shared" si="2"/>
        <v>14886.6</v>
      </c>
      <c r="P12" s="60"/>
      <c r="Q12" s="8"/>
    </row>
    <row r="13" spans="2:17" ht="25.5">
      <c r="B13" s="10" t="s">
        <v>68</v>
      </c>
      <c r="C13" s="11" t="s">
        <v>44</v>
      </c>
      <c r="D13" s="11" t="s">
        <v>41</v>
      </c>
      <c r="E13" s="364" t="s">
        <v>222</v>
      </c>
      <c r="F13" s="14">
        <v>82035653910</v>
      </c>
      <c r="G13" s="11" t="s">
        <v>69</v>
      </c>
      <c r="H13" s="12">
        <v>43313</v>
      </c>
      <c r="I13" s="13">
        <v>38306</v>
      </c>
      <c r="J13" s="16">
        <v>9500</v>
      </c>
      <c r="K13" s="17">
        <f t="shared" si="0"/>
        <v>0.97059686856694838</v>
      </c>
      <c r="L13" s="18" t="b">
        <f t="shared" si="1"/>
        <v>0</v>
      </c>
      <c r="N13" s="74">
        <v>446.00645161290322</v>
      </c>
      <c r="O13" s="113">
        <f t="shared" si="2"/>
        <v>7661.2000000000007</v>
      </c>
      <c r="P13" s="60"/>
      <c r="Q13" s="8"/>
    </row>
    <row r="14" spans="2:17">
      <c r="B14" s="7" t="s">
        <v>70</v>
      </c>
    </row>
    <row r="15" spans="2:17">
      <c r="I15" s="164"/>
      <c r="J15" s="164"/>
      <c r="N15" s="69">
        <f>SUM(N4:N14)</f>
        <v>19737.433870967743</v>
      </c>
      <c r="O15" s="69">
        <f>SUM(O4:O14)</f>
        <v>332812.2</v>
      </c>
      <c r="Q15" s="8"/>
    </row>
    <row r="16" spans="2:17" ht="13.5" thickBot="1"/>
    <row r="17" spans="2:5">
      <c r="C17" s="452" t="s">
        <v>111</v>
      </c>
      <c r="D17" s="431" t="s">
        <v>112</v>
      </c>
    </row>
    <row r="18" spans="2:5" ht="37.15" customHeight="1" thickBot="1">
      <c r="C18" s="453"/>
      <c r="D18" s="454"/>
      <c r="E18" s="8"/>
    </row>
    <row r="19" spans="2:5">
      <c r="B19" s="243" t="s">
        <v>75</v>
      </c>
      <c r="C19" s="314">
        <f>N4</f>
        <v>6058.6467741935494</v>
      </c>
      <c r="D19" s="315">
        <f>O4</f>
        <v>95963.200000000012</v>
      </c>
      <c r="E19" s="49"/>
    </row>
    <row r="20" spans="2:5">
      <c r="B20" s="122" t="s">
        <v>76</v>
      </c>
      <c r="C20" s="73">
        <f>SUM(N5:N6)</f>
        <v>4134.8612903225812</v>
      </c>
      <c r="D20" s="316">
        <f>SUM(O5:O6)</f>
        <v>94233.400000000009</v>
      </c>
      <c r="E20" s="49"/>
    </row>
    <row r="21" spans="2:5">
      <c r="B21" s="122" t="s">
        <v>77</v>
      </c>
      <c r="C21" s="73">
        <f>SUM(N8:N9)</f>
        <v>4517.5225806451617</v>
      </c>
      <c r="D21" s="316">
        <f>SUM(O8:O9)</f>
        <v>49064.6</v>
      </c>
      <c r="E21" s="49"/>
    </row>
    <row r="22" spans="2:5">
      <c r="B22" s="122" t="s">
        <v>78</v>
      </c>
      <c r="C22" s="74">
        <f>N10</f>
        <v>1530.7629032258062</v>
      </c>
      <c r="D22" s="317">
        <f>O10</f>
        <v>21894.800000000003</v>
      </c>
      <c r="E22" s="49"/>
    </row>
    <row r="23" spans="2:5">
      <c r="B23" s="122" t="s">
        <v>79</v>
      </c>
      <c r="C23" s="74">
        <f>N12</f>
        <v>1193.3145161290322</v>
      </c>
      <c r="D23" s="317">
        <f>O12</f>
        <v>14886.6</v>
      </c>
      <c r="E23" s="49"/>
    </row>
    <row r="24" spans="2:5">
      <c r="B24" s="122" t="s">
        <v>83</v>
      </c>
      <c r="C24" s="74">
        <f>N11</f>
        <v>1205.5596774193548</v>
      </c>
      <c r="D24" s="317">
        <f>O11</f>
        <v>31761</v>
      </c>
      <c r="E24" s="49"/>
    </row>
    <row r="25" spans="2:5">
      <c r="B25" s="122" t="s">
        <v>25</v>
      </c>
      <c r="C25" s="74">
        <f>N7</f>
        <v>650.75967741935483</v>
      </c>
      <c r="D25" s="316">
        <f>O7</f>
        <v>17347.400000000001</v>
      </c>
      <c r="E25" s="49"/>
    </row>
    <row r="26" spans="2:5" ht="13.5" thickBot="1">
      <c r="B26" s="244" t="s">
        <v>84</v>
      </c>
      <c r="C26" s="318">
        <f>N13</f>
        <v>446.00645161290322</v>
      </c>
      <c r="D26" s="319">
        <f>O13</f>
        <v>7661.2000000000007</v>
      </c>
      <c r="E26" s="49"/>
    </row>
    <row r="27" spans="2:5">
      <c r="C27" s="69"/>
      <c r="D27" s="69"/>
    </row>
    <row r="28" spans="2:5">
      <c r="B28" s="320" t="s">
        <v>85</v>
      </c>
      <c r="C28" s="78">
        <f>SUM(C19:C27)</f>
        <v>19737.433870967743</v>
      </c>
      <c r="D28" s="78">
        <f>SUM(D19:D27)</f>
        <v>332812.20000000007</v>
      </c>
    </row>
    <row r="30" spans="2:5">
      <c r="C30" s="57"/>
      <c r="D30" s="57"/>
    </row>
  </sheetData>
  <mergeCells count="4">
    <mergeCell ref="N2:N3"/>
    <mergeCell ref="O2:O3"/>
    <mergeCell ref="C17:C18"/>
    <mergeCell ref="D17:D18"/>
  </mergeCells>
  <pageMargins left="0.7" right="0.7" top="0.75" bottom="0.75" header="0.3" footer="0.3"/>
  <pageSetup paperSize="9" orientation="portrait" horizontalDpi="1200" verticalDpi="1200" r:id="rId1"/>
  <ignoredErrors>
    <ignoredError sqref="C20:C21" formulaRange="1"/>
    <ignoredError sqref="C25:D2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3E9C-0E5D-48D6-85B1-EAE5CC47FCB4}">
  <dimension ref="B1:G14"/>
  <sheetViews>
    <sheetView workbookViewId="0">
      <selection activeCell="E17" sqref="E16:E17"/>
    </sheetView>
  </sheetViews>
  <sheetFormatPr baseColWidth="10" defaultColWidth="11.42578125" defaultRowHeight="12.75"/>
  <cols>
    <col min="1" max="1" width="1.7109375" style="3" customWidth="1"/>
    <col min="2" max="2" width="33.28515625" style="3" customWidth="1"/>
    <col min="3" max="7" width="14.5703125" style="3" customWidth="1"/>
    <col min="8" max="16384" width="11.42578125" style="3"/>
  </cols>
  <sheetData>
    <row r="1" spans="2:7" ht="13.5" thickBot="1"/>
    <row r="2" spans="2:7" s="75" customFormat="1">
      <c r="B2" s="452" t="s">
        <v>3</v>
      </c>
      <c r="C2" s="456" t="s">
        <v>155</v>
      </c>
      <c r="D2" s="457"/>
      <c r="E2" s="457"/>
      <c r="F2" s="457"/>
      <c r="G2" s="458"/>
    </row>
    <row r="3" spans="2:7" s="75" customFormat="1" ht="64.150000000000006" customHeight="1" thickBot="1">
      <c r="B3" s="455"/>
      <c r="C3" s="76" t="s">
        <v>119</v>
      </c>
      <c r="D3" s="76" t="s">
        <v>120</v>
      </c>
      <c r="E3" s="76" t="s">
        <v>121</v>
      </c>
      <c r="F3" s="76" t="s">
        <v>122</v>
      </c>
      <c r="G3" s="97" t="s">
        <v>123</v>
      </c>
    </row>
    <row r="4" spans="2:7">
      <c r="B4" s="132" t="s">
        <v>75</v>
      </c>
      <c r="C4" s="229">
        <v>59491.46</v>
      </c>
      <c r="D4" s="229">
        <v>3244.36</v>
      </c>
      <c r="E4" s="229">
        <v>32262</v>
      </c>
      <c r="F4" s="229">
        <v>1330</v>
      </c>
      <c r="G4" s="230">
        <v>2520</v>
      </c>
    </row>
    <row r="5" spans="2:7">
      <c r="B5" s="227" t="s">
        <v>76</v>
      </c>
      <c r="C5" s="231">
        <v>42918.838999999993</v>
      </c>
      <c r="D5" s="231">
        <v>2340.5740000000001</v>
      </c>
      <c r="E5" s="232">
        <v>25482</v>
      </c>
      <c r="F5" s="232">
        <v>1030</v>
      </c>
      <c r="G5" s="233">
        <v>1818</v>
      </c>
    </row>
    <row r="6" spans="2:7">
      <c r="B6" s="227" t="s">
        <v>77</v>
      </c>
      <c r="C6" s="231">
        <v>24221.523000000001</v>
      </c>
      <c r="D6" s="231">
        <v>1320.9180000000001</v>
      </c>
      <c r="E6" s="232">
        <v>10977</v>
      </c>
      <c r="F6" s="232">
        <v>795</v>
      </c>
      <c r="G6" s="233">
        <v>1026</v>
      </c>
    </row>
    <row r="7" spans="2:7">
      <c r="B7" s="227" t="s">
        <v>78</v>
      </c>
      <c r="C7" s="232">
        <v>16147.681999999999</v>
      </c>
      <c r="D7" s="232">
        <v>880.61199999999997</v>
      </c>
      <c r="E7" s="232">
        <v>7069</v>
      </c>
      <c r="F7" s="232">
        <v>795</v>
      </c>
      <c r="G7" s="234">
        <v>684</v>
      </c>
    </row>
    <row r="8" spans="2:7">
      <c r="B8" s="227" t="s">
        <v>79</v>
      </c>
      <c r="C8" s="232">
        <v>14447.925999999999</v>
      </c>
      <c r="D8" s="232">
        <v>787.91599999999994</v>
      </c>
      <c r="E8" s="232">
        <v>6919</v>
      </c>
      <c r="F8" s="232">
        <v>830</v>
      </c>
      <c r="G8" s="234">
        <v>612</v>
      </c>
    </row>
    <row r="9" spans="2:7">
      <c r="B9" s="227" t="s">
        <v>83</v>
      </c>
      <c r="C9" s="232">
        <v>16997.560000000001</v>
      </c>
      <c r="D9" s="232">
        <v>926.96</v>
      </c>
      <c r="E9" s="232">
        <v>7798</v>
      </c>
      <c r="F9" s="232">
        <v>1030</v>
      </c>
      <c r="G9" s="234">
        <v>720</v>
      </c>
    </row>
    <row r="10" spans="2:7">
      <c r="B10" s="227" t="s">
        <v>25</v>
      </c>
      <c r="C10" s="232">
        <v>9773.5969999999998</v>
      </c>
      <c r="D10" s="232">
        <v>533.00199999999995</v>
      </c>
      <c r="E10" s="232">
        <v>4914</v>
      </c>
      <c r="F10" s="232">
        <v>795</v>
      </c>
      <c r="G10" s="234">
        <v>414</v>
      </c>
    </row>
    <row r="11" spans="2:7" ht="13.5" thickBot="1">
      <c r="B11" s="228" t="s">
        <v>84</v>
      </c>
      <c r="C11" s="235">
        <v>12323.230999999998</v>
      </c>
      <c r="D11" s="235">
        <v>672.04599999999994</v>
      </c>
      <c r="E11" s="235">
        <v>4293</v>
      </c>
      <c r="F11" s="235">
        <v>1030</v>
      </c>
      <c r="G11" s="236">
        <v>522</v>
      </c>
    </row>
    <row r="12" spans="2:7" ht="13.5" thickBot="1"/>
    <row r="13" spans="2:7" ht="15.75" thickBot="1">
      <c r="B13" s="237" t="s">
        <v>117</v>
      </c>
      <c r="C13" s="238">
        <f>SUM(C4:C11)</f>
        <v>196321.818</v>
      </c>
      <c r="D13" s="238">
        <f>SUM(D4:D11)</f>
        <v>10706.388000000001</v>
      </c>
      <c r="E13" s="238">
        <f>SUM(E4:E11)</f>
        <v>99714</v>
      </c>
      <c r="F13" s="238">
        <f>SUM(F4:F11)</f>
        <v>7635</v>
      </c>
      <c r="G13" s="239">
        <f>SUM(G4:G11)</f>
        <v>8316</v>
      </c>
    </row>
    <row r="14" spans="2:7" ht="15">
      <c r="B14" s="79"/>
      <c r="C14" s="79"/>
      <c r="D14" s="79"/>
      <c r="E14" s="79"/>
      <c r="F14" s="79"/>
      <c r="G14" s="79"/>
    </row>
  </sheetData>
  <mergeCells count="2">
    <mergeCell ref="B2:B3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36B1-2610-4AE2-8B53-C9CA59B7C67C}">
  <dimension ref="A1:O26"/>
  <sheetViews>
    <sheetView topLeftCell="A13" zoomScale="80" zoomScaleNormal="80" workbookViewId="0">
      <selection activeCell="B7" sqref="B7"/>
    </sheetView>
  </sheetViews>
  <sheetFormatPr baseColWidth="10" defaultColWidth="11.42578125" defaultRowHeight="12.75"/>
  <cols>
    <col min="1" max="1" width="3.28515625" customWidth="1"/>
    <col min="2" max="2" width="38.85546875" bestFit="1" customWidth="1"/>
    <col min="3" max="3" width="14.28515625" bestFit="1" customWidth="1"/>
    <col min="4" max="4" width="2" customWidth="1"/>
    <col min="5" max="5" width="13" customWidth="1"/>
    <col min="6" max="6" width="6" customWidth="1"/>
    <col min="7" max="7" width="14.5703125" customWidth="1"/>
    <col min="8" max="8" width="13.7109375" customWidth="1"/>
    <col min="9" max="9" width="13.42578125" customWidth="1"/>
    <col min="10" max="10" width="11.7109375" customWidth="1"/>
    <col min="11" max="11" width="13.7109375" customWidth="1"/>
    <col min="12" max="12" width="13" customWidth="1"/>
    <col min="13" max="13" width="12.42578125" customWidth="1"/>
    <col min="14" max="14" width="14.140625" customWidth="1"/>
    <col min="15" max="15" width="12.5703125" customWidth="1"/>
    <col min="16" max="16" width="12.7109375" customWidth="1"/>
  </cols>
  <sheetData>
    <row r="1" spans="1:15" ht="13.5" thickBot="1"/>
    <row r="2" spans="1:15" s="5" customFormat="1" ht="24" customHeight="1" thickBot="1">
      <c r="B2" s="461" t="s">
        <v>18</v>
      </c>
      <c r="C2" s="459" t="s">
        <v>152</v>
      </c>
      <c r="E2" s="81"/>
    </row>
    <row r="3" spans="1:15" s="3" customFormat="1" ht="25.5" customHeight="1" thickBot="1">
      <c r="B3" s="462"/>
      <c r="C3" s="460"/>
      <c r="G3" s="101" t="s">
        <v>23</v>
      </c>
      <c r="H3" s="102" t="s">
        <v>24</v>
      </c>
      <c r="I3" s="102" t="s">
        <v>25</v>
      </c>
      <c r="J3" s="102" t="s">
        <v>26</v>
      </c>
      <c r="K3" s="102" t="s">
        <v>27</v>
      </c>
      <c r="L3" s="102" t="s">
        <v>28</v>
      </c>
      <c r="M3" s="103" t="s">
        <v>79</v>
      </c>
      <c r="N3" s="163" t="s">
        <v>29</v>
      </c>
      <c r="O3" s="57"/>
    </row>
    <row r="4" spans="1:15" ht="15.75" customHeight="1">
      <c r="B4" s="190" t="s">
        <v>166</v>
      </c>
      <c r="C4" s="240">
        <v>15600</v>
      </c>
      <c r="E4" s="42"/>
      <c r="F4" s="82">
        <f>SUM(G4:N4)</f>
        <v>1</v>
      </c>
      <c r="G4" s="104">
        <v>0.3</v>
      </c>
      <c r="H4" s="105">
        <v>0.15</v>
      </c>
      <c r="I4" s="105">
        <v>0.05</v>
      </c>
      <c r="J4" s="105">
        <v>0.2</v>
      </c>
      <c r="K4" s="105">
        <v>0.1</v>
      </c>
      <c r="L4" s="105">
        <v>0.1</v>
      </c>
      <c r="M4" s="105">
        <v>0.05</v>
      </c>
      <c r="N4" s="105">
        <v>0.05</v>
      </c>
      <c r="O4" s="26"/>
    </row>
    <row r="5" spans="1:15" ht="15.75" customHeight="1">
      <c r="B5" s="195" t="s">
        <v>167</v>
      </c>
      <c r="C5" s="241">
        <v>4120</v>
      </c>
      <c r="E5" s="42"/>
      <c r="F5" s="82">
        <f>SUM(G5:N5)</f>
        <v>1</v>
      </c>
      <c r="G5" s="106">
        <v>0.3</v>
      </c>
      <c r="H5" s="107">
        <v>0.15</v>
      </c>
      <c r="I5" s="107">
        <v>0.05</v>
      </c>
      <c r="J5" s="107">
        <v>0.2</v>
      </c>
      <c r="K5" s="107">
        <v>0.1</v>
      </c>
      <c r="L5" s="107">
        <v>0.1</v>
      </c>
      <c r="M5" s="107">
        <v>0.05</v>
      </c>
      <c r="N5" s="107">
        <v>0.05</v>
      </c>
      <c r="O5" s="26"/>
    </row>
    <row r="6" spans="1:15" ht="15.75" customHeight="1">
      <c r="B6" s="195" t="s">
        <v>200</v>
      </c>
      <c r="C6" s="241">
        <v>12000</v>
      </c>
      <c r="E6" s="42"/>
      <c r="F6" s="82">
        <f>SUM(G6:N6)</f>
        <v>1</v>
      </c>
      <c r="G6" s="106">
        <v>0.3</v>
      </c>
      <c r="H6" s="107">
        <v>0.15</v>
      </c>
      <c r="I6" s="107">
        <v>0.05</v>
      </c>
      <c r="J6" s="107">
        <v>0.2</v>
      </c>
      <c r="K6" s="107">
        <v>0.1</v>
      </c>
      <c r="L6" s="107">
        <v>0.1</v>
      </c>
      <c r="M6" s="107">
        <v>0.05</v>
      </c>
      <c r="N6" s="107">
        <v>0.05</v>
      </c>
      <c r="O6" s="26"/>
    </row>
    <row r="7" spans="1:15" ht="15.75" customHeight="1">
      <c r="B7" s="195" t="s">
        <v>168</v>
      </c>
      <c r="C7" s="241">
        <v>6000</v>
      </c>
      <c r="E7" s="42"/>
      <c r="F7" s="82">
        <f>SUM(G7:N7)</f>
        <v>1</v>
      </c>
      <c r="G7" s="106">
        <v>0.3</v>
      </c>
      <c r="H7" s="107">
        <v>0.15</v>
      </c>
      <c r="I7" s="107">
        <v>0.05</v>
      </c>
      <c r="J7" s="107">
        <v>0.2</v>
      </c>
      <c r="K7" s="107">
        <v>0.1</v>
      </c>
      <c r="L7" s="107">
        <v>0.1</v>
      </c>
      <c r="M7" s="107">
        <v>0.05</v>
      </c>
      <c r="N7" s="107">
        <v>0.05</v>
      </c>
      <c r="O7" s="26"/>
    </row>
    <row r="8" spans="1:15" ht="15.75" customHeight="1" thickBot="1">
      <c r="B8" s="198" t="s">
        <v>202</v>
      </c>
      <c r="C8" s="242">
        <v>37560</v>
      </c>
      <c r="E8" s="42"/>
      <c r="F8" s="82">
        <f>SUM(G8:N8)</f>
        <v>1</v>
      </c>
      <c r="G8" s="106">
        <v>0.3</v>
      </c>
      <c r="H8" s="107">
        <v>0.15</v>
      </c>
      <c r="I8" s="107">
        <v>0.05</v>
      </c>
      <c r="J8" s="107">
        <v>0.2</v>
      </c>
      <c r="K8" s="107">
        <v>0.1</v>
      </c>
      <c r="L8" s="107">
        <v>0.1</v>
      </c>
      <c r="M8" s="107">
        <v>0.05</v>
      </c>
      <c r="N8" s="107">
        <v>0.05</v>
      </c>
      <c r="O8" s="26"/>
    </row>
    <row r="9" spans="1:15" ht="15.75" customHeight="1">
      <c r="B9" s="83"/>
      <c r="C9" s="87"/>
      <c r="E9" s="42"/>
      <c r="F9" s="88"/>
      <c r="G9" s="18"/>
      <c r="H9" s="18"/>
      <c r="I9" s="18"/>
      <c r="J9" s="18"/>
      <c r="K9" s="18"/>
      <c r="L9" s="18"/>
      <c r="M9" s="18"/>
      <c r="N9" s="18"/>
      <c r="O9" s="26"/>
    </row>
    <row r="10" spans="1:15" ht="15.75" customHeight="1" thickBot="1">
      <c r="G10" s="2"/>
      <c r="H10" s="2"/>
      <c r="I10" s="2"/>
      <c r="J10" s="2"/>
    </row>
    <row r="11" spans="1:15" ht="28.5" customHeight="1" thickBot="1">
      <c r="A11" s="4"/>
      <c r="B11" s="208" t="s">
        <v>169</v>
      </c>
      <c r="C11" s="180">
        <f>SUM(C4:C8)</f>
        <v>75280</v>
      </c>
      <c r="E11" s="429" t="s">
        <v>170</v>
      </c>
      <c r="F11" s="430"/>
      <c r="G11" s="109">
        <f>G4*$C$4+G5*$C$5+G6*$C$6+G7*$C$7+G8*$C$8</f>
        <v>22584</v>
      </c>
      <c r="H11" s="109">
        <f t="shared" ref="H11:N11" si="0">H4*$C$4+H5*$C$5+H6*$C$6+H7*$C$7+H8*$C$8</f>
        <v>11292</v>
      </c>
      <c r="I11" s="109">
        <f t="shared" si="0"/>
        <v>3764</v>
      </c>
      <c r="J11" s="109">
        <f t="shared" si="0"/>
        <v>15056</v>
      </c>
      <c r="K11" s="109">
        <f t="shared" si="0"/>
        <v>7528</v>
      </c>
      <c r="L11" s="109">
        <f t="shared" si="0"/>
        <v>7528</v>
      </c>
      <c r="M11" s="109">
        <f t="shared" si="0"/>
        <v>3764</v>
      </c>
      <c r="N11" s="109">
        <f t="shared" si="0"/>
        <v>3764</v>
      </c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C13">
        <v>1</v>
      </c>
    </row>
    <row r="14" spans="1:15" ht="13.5" thickBot="1"/>
    <row r="15" spans="1:15" ht="36" customHeight="1" thickBot="1">
      <c r="B15" s="245" t="s">
        <v>193</v>
      </c>
      <c r="C15" s="185" t="s">
        <v>181</v>
      </c>
    </row>
    <row r="16" spans="1:15">
      <c r="B16" s="243" t="s">
        <v>75</v>
      </c>
      <c r="C16" s="246">
        <f>G11</f>
        <v>22584</v>
      </c>
    </row>
    <row r="17" spans="2:3">
      <c r="B17" s="122" t="s">
        <v>76</v>
      </c>
      <c r="C17" s="247">
        <f>H11</f>
        <v>11292</v>
      </c>
    </row>
    <row r="18" spans="2:3">
      <c r="B18" s="122" t="s">
        <v>77</v>
      </c>
      <c r="C18" s="247">
        <f>J11</f>
        <v>15056</v>
      </c>
    </row>
    <row r="19" spans="2:3">
      <c r="B19" s="122" t="s">
        <v>78</v>
      </c>
      <c r="C19" s="247">
        <f>K11</f>
        <v>7528</v>
      </c>
    </row>
    <row r="20" spans="2:3">
      <c r="B20" s="122" t="s">
        <v>79</v>
      </c>
      <c r="C20" s="247">
        <f>M11</f>
        <v>3764</v>
      </c>
    </row>
    <row r="21" spans="2:3">
      <c r="B21" s="122" t="s">
        <v>83</v>
      </c>
      <c r="C21" s="247">
        <f>L11</f>
        <v>7528</v>
      </c>
    </row>
    <row r="22" spans="2:3">
      <c r="B22" s="122" t="s">
        <v>25</v>
      </c>
      <c r="C22" s="247">
        <f>I11</f>
        <v>3764</v>
      </c>
    </row>
    <row r="23" spans="2:3" ht="13.5" thickBot="1">
      <c r="B23" s="249" t="s">
        <v>84</v>
      </c>
      <c r="C23" s="250">
        <f>N11</f>
        <v>3764</v>
      </c>
    </row>
    <row r="24" spans="2:3" ht="13.5" thickBot="1">
      <c r="B24" s="253" t="s">
        <v>85</v>
      </c>
      <c r="C24" s="254">
        <f>SUM(C16:C23)</f>
        <v>75280</v>
      </c>
    </row>
    <row r="25" spans="2:3">
      <c r="C25" s="65"/>
    </row>
    <row r="26" spans="2:3">
      <c r="C26" s="65"/>
    </row>
  </sheetData>
  <mergeCells count="3">
    <mergeCell ref="C2:C3"/>
    <mergeCell ref="E11:F11"/>
    <mergeCell ref="B2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FCE3-17FE-4902-9F6F-7A0815182C47}">
  <dimension ref="B1:P25"/>
  <sheetViews>
    <sheetView workbookViewId="0">
      <selection activeCell="H21" sqref="H21"/>
    </sheetView>
  </sheetViews>
  <sheetFormatPr baseColWidth="10" defaultColWidth="9.140625" defaultRowHeight="12.75"/>
  <cols>
    <col min="1" max="1" width="2.7109375" customWidth="1"/>
    <col min="2" max="2" width="23.5703125" customWidth="1"/>
    <col min="3" max="3" width="31" customWidth="1"/>
    <col min="4" max="4" width="17" customWidth="1"/>
    <col min="5" max="5" width="13.28515625" style="65" customWidth="1"/>
    <col min="6" max="6" width="3.7109375" customWidth="1"/>
    <col min="7" max="7" width="4.5703125" customWidth="1"/>
    <col min="9" max="9" width="10.7109375" bestFit="1" customWidth="1"/>
    <col min="10" max="10" width="11.7109375" customWidth="1"/>
    <col min="11" max="11" width="10.85546875" bestFit="1" customWidth="1"/>
    <col min="12" max="14" width="10.7109375" bestFit="1" customWidth="1"/>
    <col min="15" max="15" width="9.7109375" bestFit="1" customWidth="1"/>
    <col min="16" max="16" width="11" bestFit="1" customWidth="1"/>
  </cols>
  <sheetData>
    <row r="1" spans="2:16" ht="13.5" thickBot="1"/>
    <row r="2" spans="2:16" ht="26.25" thickBot="1">
      <c r="B2" s="255" t="s">
        <v>191</v>
      </c>
      <c r="C2" s="256" t="s">
        <v>188</v>
      </c>
      <c r="D2" s="257" t="s">
        <v>180</v>
      </c>
      <c r="E2" s="258" t="s">
        <v>187</v>
      </c>
      <c r="G2" s="3"/>
      <c r="H2" s="3"/>
      <c r="I2" s="136" t="s">
        <v>23</v>
      </c>
      <c r="J2" s="137" t="s">
        <v>24</v>
      </c>
      <c r="K2" s="137" t="s">
        <v>25</v>
      </c>
      <c r="L2" s="137" t="s">
        <v>26</v>
      </c>
      <c r="M2" s="137" t="s">
        <v>27</v>
      </c>
      <c r="N2" s="137" t="s">
        <v>28</v>
      </c>
      <c r="O2" s="138" t="s">
        <v>79</v>
      </c>
      <c r="P2" s="137" t="s">
        <v>29</v>
      </c>
    </row>
    <row r="3" spans="2:16">
      <c r="B3" s="259" t="s">
        <v>171</v>
      </c>
      <c r="C3" s="260" t="s">
        <v>189</v>
      </c>
      <c r="D3" s="262">
        <v>178419.08</v>
      </c>
      <c r="E3" s="263">
        <f>D3/5</f>
        <v>35683.815999999999</v>
      </c>
      <c r="G3" s="42"/>
      <c r="H3" s="82">
        <f t="shared" ref="H3:H9" si="0">SUM(I3:P3)</f>
        <v>1</v>
      </c>
      <c r="I3" s="104">
        <v>0.3</v>
      </c>
      <c r="J3" s="105">
        <v>0.15</v>
      </c>
      <c r="K3" s="105">
        <v>0.05</v>
      </c>
      <c r="L3" s="105">
        <v>0.2</v>
      </c>
      <c r="M3" s="105">
        <v>0.1</v>
      </c>
      <c r="N3" s="105">
        <v>0.1</v>
      </c>
      <c r="O3" s="105">
        <v>0.05</v>
      </c>
      <c r="P3" s="322">
        <v>0.05</v>
      </c>
    </row>
    <row r="4" spans="2:16">
      <c r="B4" s="261" t="s">
        <v>178</v>
      </c>
      <c r="C4" s="139" t="s">
        <v>189</v>
      </c>
      <c r="D4" s="264">
        <v>46299</v>
      </c>
      <c r="E4" s="265">
        <f t="shared" ref="E4:E9" si="1">D4/5</f>
        <v>9259.7999999999993</v>
      </c>
      <c r="G4" s="42"/>
      <c r="H4" s="82">
        <f t="shared" si="0"/>
        <v>1</v>
      </c>
      <c r="I4" s="106">
        <v>0.3</v>
      </c>
      <c r="J4" s="107">
        <v>0.15</v>
      </c>
      <c r="K4" s="107">
        <v>0.05</v>
      </c>
      <c r="L4" s="107">
        <v>0.2</v>
      </c>
      <c r="M4" s="107">
        <v>0.1</v>
      </c>
      <c r="N4" s="107">
        <v>0.1</v>
      </c>
      <c r="O4" s="107">
        <v>0.05</v>
      </c>
      <c r="P4" s="323">
        <v>0.05</v>
      </c>
    </row>
    <row r="5" spans="2:16">
      <c r="B5" s="261" t="s">
        <v>172</v>
      </c>
      <c r="C5" s="139" t="s">
        <v>23</v>
      </c>
      <c r="D5" s="266">
        <v>40000</v>
      </c>
      <c r="E5" s="265">
        <f t="shared" si="1"/>
        <v>8000</v>
      </c>
      <c r="G5" s="42"/>
      <c r="H5" s="82">
        <f t="shared" si="0"/>
        <v>1</v>
      </c>
      <c r="I5" s="106">
        <v>0.3</v>
      </c>
      <c r="J5" s="107">
        <v>0.15</v>
      </c>
      <c r="K5" s="107">
        <v>0.05</v>
      </c>
      <c r="L5" s="107">
        <v>0.2</v>
      </c>
      <c r="M5" s="107">
        <v>0.1</v>
      </c>
      <c r="N5" s="107">
        <v>0.1</v>
      </c>
      <c r="O5" s="107">
        <v>0.05</v>
      </c>
      <c r="P5" s="323">
        <v>0.05</v>
      </c>
    </row>
    <row r="6" spans="2:16">
      <c r="B6" s="463" t="s">
        <v>173</v>
      </c>
      <c r="C6" s="139" t="s">
        <v>174</v>
      </c>
      <c r="D6" s="266">
        <v>22960</v>
      </c>
      <c r="E6" s="265">
        <f t="shared" si="1"/>
        <v>4592</v>
      </c>
      <c r="G6" s="42"/>
      <c r="H6" s="82">
        <f t="shared" si="0"/>
        <v>1</v>
      </c>
      <c r="I6" s="106"/>
      <c r="J6" s="107"/>
      <c r="K6" s="107"/>
      <c r="L6" s="107"/>
      <c r="M6" s="107"/>
      <c r="N6" s="107">
        <v>1</v>
      </c>
      <c r="O6" s="107"/>
      <c r="P6" s="323"/>
    </row>
    <row r="7" spans="2:16">
      <c r="B7" s="464"/>
      <c r="C7" s="139" t="s">
        <v>175</v>
      </c>
      <c r="D7" s="266">
        <v>6190</v>
      </c>
      <c r="E7" s="265">
        <f t="shared" si="1"/>
        <v>1238</v>
      </c>
      <c r="G7" s="42"/>
      <c r="H7" s="82">
        <f t="shared" si="0"/>
        <v>1</v>
      </c>
      <c r="I7" s="106"/>
      <c r="J7" s="107">
        <v>1</v>
      </c>
      <c r="K7" s="107"/>
      <c r="L7" s="107"/>
      <c r="M7" s="107"/>
      <c r="N7" s="107"/>
      <c r="O7" s="107"/>
      <c r="P7" s="323"/>
    </row>
    <row r="8" spans="2:16">
      <c r="B8" s="464"/>
      <c r="C8" s="139" t="s">
        <v>176</v>
      </c>
      <c r="D8" s="266">
        <v>4890</v>
      </c>
      <c r="E8" s="265">
        <f t="shared" si="1"/>
        <v>978</v>
      </c>
      <c r="G8" s="42"/>
      <c r="H8" s="82">
        <f t="shared" si="0"/>
        <v>1</v>
      </c>
      <c r="I8" s="106"/>
      <c r="J8" s="107"/>
      <c r="K8" s="107">
        <v>1</v>
      </c>
      <c r="L8" s="107"/>
      <c r="M8" s="107"/>
      <c r="N8" s="107"/>
      <c r="O8" s="107"/>
      <c r="P8" s="323"/>
    </row>
    <row r="9" spans="2:16" ht="13.5" thickBot="1">
      <c r="B9" s="465"/>
      <c r="C9" s="324" t="s">
        <v>177</v>
      </c>
      <c r="D9" s="325">
        <v>4890</v>
      </c>
      <c r="E9" s="326">
        <f t="shared" si="1"/>
        <v>978</v>
      </c>
      <c r="G9" s="42"/>
      <c r="H9" s="82">
        <f t="shared" si="0"/>
        <v>1</v>
      </c>
      <c r="I9" s="106"/>
      <c r="J9" s="107"/>
      <c r="K9" s="107"/>
      <c r="L9" s="107"/>
      <c r="M9" s="107">
        <v>1</v>
      </c>
      <c r="N9" s="107"/>
      <c r="O9" s="107"/>
      <c r="P9" s="323"/>
    </row>
    <row r="10" spans="2:16" ht="12" customHeight="1" thickBot="1"/>
    <row r="11" spans="2:16" ht="26.25" thickBot="1">
      <c r="B11" s="255" t="s">
        <v>85</v>
      </c>
      <c r="C11" s="256"/>
      <c r="D11" s="256"/>
      <c r="E11" s="140">
        <f>SUM(E3:E9)</f>
        <v>60729.615999999995</v>
      </c>
      <c r="H11" s="321" t="s">
        <v>179</v>
      </c>
      <c r="I11" s="109">
        <f t="shared" ref="I11:P11" si="2">I3*$E$3+I4*$E$4+I5*$E$5+I6*$E$6+I7*$E$7+I8*$E$8+I9*$E$9</f>
        <v>15883.084800000001</v>
      </c>
      <c r="J11" s="109">
        <f t="shared" si="2"/>
        <v>9179.5424000000003</v>
      </c>
      <c r="K11" s="109">
        <f t="shared" si="2"/>
        <v>3625.1808000000001</v>
      </c>
      <c r="L11" s="109">
        <f t="shared" si="2"/>
        <v>10588.7232</v>
      </c>
      <c r="M11" s="109">
        <f t="shared" si="2"/>
        <v>6272.3616000000002</v>
      </c>
      <c r="N11" s="109">
        <f t="shared" si="2"/>
        <v>9886.3616000000002</v>
      </c>
      <c r="O11" s="109">
        <f t="shared" si="2"/>
        <v>2647.1808000000001</v>
      </c>
      <c r="P11" s="109">
        <f t="shared" si="2"/>
        <v>2647.1808000000001</v>
      </c>
    </row>
    <row r="13" spans="2:16" ht="13.5" thickBot="1">
      <c r="F13" s="65"/>
    </row>
    <row r="14" spans="2:16" ht="13.5" thickBot="1">
      <c r="B14" s="251" t="s">
        <v>194</v>
      </c>
      <c r="C14" s="267" t="s">
        <v>182</v>
      </c>
      <c r="D14" s="50"/>
      <c r="E14"/>
    </row>
    <row r="15" spans="2:16">
      <c r="B15" s="243" t="s">
        <v>75</v>
      </c>
      <c r="C15" s="246">
        <f>I11</f>
        <v>15883.084800000001</v>
      </c>
      <c r="D15" s="65"/>
      <c r="E15"/>
    </row>
    <row r="16" spans="2:16">
      <c r="B16" s="122" t="s">
        <v>76</v>
      </c>
      <c r="C16" s="247">
        <f>J11</f>
        <v>9179.5424000000003</v>
      </c>
      <c r="D16" s="65"/>
      <c r="E16"/>
    </row>
    <row r="17" spans="2:5">
      <c r="B17" s="122" t="s">
        <v>77</v>
      </c>
      <c r="C17" s="247">
        <f>L11</f>
        <v>10588.7232</v>
      </c>
      <c r="D17" s="65"/>
      <c r="E17"/>
    </row>
    <row r="18" spans="2:5">
      <c r="B18" s="122" t="s">
        <v>78</v>
      </c>
      <c r="C18" s="247">
        <f>M11</f>
        <v>6272.3616000000002</v>
      </c>
      <c r="D18" s="65"/>
      <c r="E18"/>
    </row>
    <row r="19" spans="2:5">
      <c r="B19" s="122" t="s">
        <v>79</v>
      </c>
      <c r="C19" s="247">
        <f>O11</f>
        <v>2647.1808000000001</v>
      </c>
      <c r="D19" s="65"/>
      <c r="E19"/>
    </row>
    <row r="20" spans="2:5">
      <c r="B20" s="122" t="s">
        <v>83</v>
      </c>
      <c r="C20" s="247">
        <f>N11</f>
        <v>9886.3616000000002</v>
      </c>
      <c r="D20" s="65"/>
      <c r="E20"/>
    </row>
    <row r="21" spans="2:5">
      <c r="B21" s="122" t="s">
        <v>25</v>
      </c>
      <c r="C21" s="247">
        <f>K11</f>
        <v>3625.1808000000001</v>
      </c>
      <c r="D21" s="65"/>
      <c r="E21"/>
    </row>
    <row r="22" spans="2:5" ht="13.5" thickBot="1">
      <c r="B22" s="244" t="s">
        <v>84</v>
      </c>
      <c r="C22" s="248">
        <f>P11</f>
        <v>2647.1808000000001</v>
      </c>
      <c r="D22" s="65"/>
      <c r="E22"/>
    </row>
    <row r="23" spans="2:5" ht="13.5" thickBot="1">
      <c r="B23" s="252" t="s">
        <v>85</v>
      </c>
      <c r="C23" s="268">
        <f>SUM(C15:C22)</f>
        <v>60729.616000000009</v>
      </c>
      <c r="D23" s="65"/>
      <c r="E23"/>
    </row>
    <row r="25" spans="2:5">
      <c r="C25" s="327">
        <f>C23-60729.62</f>
        <v>-3.9999999935389496E-3</v>
      </c>
    </row>
  </sheetData>
  <mergeCells count="1">
    <mergeCell ref="B6:B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Pressupost base licitació</vt:lpstr>
      <vt:lpstr>DD alta</vt:lpstr>
      <vt:lpstr>Personal general</vt:lpstr>
      <vt:lpstr>Mitjanes cabals</vt:lpstr>
      <vt:lpstr>Fangs i reactius</vt:lpstr>
      <vt:lpstr>Energia</vt:lpstr>
      <vt:lpstr>Costos materials</vt:lpstr>
      <vt:lpstr>Altres conceptes</vt:lpstr>
      <vt:lpstr>Actuacions necessàries</vt:lpstr>
      <vt:lpstr>Sistemes</vt:lpstr>
      <vt:lpstr>'Pressupost base licitació'!_Toc330471287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Marianela Andrea Bastias Poblete</cp:lastModifiedBy>
  <cp:lastPrinted>2024-04-05T08:20:11Z</cp:lastPrinted>
  <dcterms:created xsi:type="dcterms:W3CDTF">2001-03-06T10:41:38Z</dcterms:created>
  <dcterms:modified xsi:type="dcterms:W3CDTF">2024-07-22T12:38:21Z</dcterms:modified>
</cp:coreProperties>
</file>