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CRETARIA\Comun Secretaria\CONTRACTACIO\EXPEDIENTS\2024\X2024005247_OBRA RENOVACIO ENLLUMENAT PUBLIC FASE 2\Doc Tecnica_Projectes\"/>
    </mc:Choice>
  </mc:AlternateContent>
  <xr:revisionPtr revIDLastSave="0" documentId="8_{509C71E1-264C-4CD0-B811-CA77AABEDA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l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1" i="1" l="1"/>
  <c r="K211" i="1"/>
  <c r="M211" i="1" s="1"/>
  <c r="L213" i="1" s="1"/>
  <c r="J208" i="1"/>
  <c r="J207" i="1"/>
  <c r="J206" i="1"/>
  <c r="K208" i="1" s="1"/>
  <c r="K203" i="1" s="1"/>
  <c r="M203" i="1" s="1"/>
  <c r="L203" i="1"/>
  <c r="J202" i="1"/>
  <c r="J201" i="1"/>
  <c r="J200" i="1"/>
  <c r="K202" i="1" s="1"/>
  <c r="K197" i="1" s="1"/>
  <c r="M197" i="1" s="1"/>
  <c r="L209" i="1" s="1"/>
  <c r="L197" i="1"/>
  <c r="L192" i="1"/>
  <c r="K192" i="1"/>
  <c r="M192" i="1" s="1"/>
  <c r="L190" i="1"/>
  <c r="K190" i="1"/>
  <c r="M190" i="1" s="1"/>
  <c r="L194" i="1" s="1"/>
  <c r="M186" i="1"/>
  <c r="L186" i="1"/>
  <c r="K186" i="1"/>
  <c r="L184" i="1"/>
  <c r="K184" i="1"/>
  <c r="M184" i="1" s="1"/>
  <c r="L182" i="1"/>
  <c r="K182" i="1"/>
  <c r="M182" i="1" s="1"/>
  <c r="L180" i="1"/>
  <c r="K180" i="1"/>
  <c r="M180" i="1" s="1"/>
  <c r="J179" i="1"/>
  <c r="K179" i="1" s="1"/>
  <c r="K176" i="1" s="1"/>
  <c r="M176" i="1" s="1"/>
  <c r="L176" i="1"/>
  <c r="K175" i="1"/>
  <c r="J175" i="1"/>
  <c r="L172" i="1"/>
  <c r="K172" i="1"/>
  <c r="M172" i="1" s="1"/>
  <c r="J171" i="1"/>
  <c r="K171" i="1" s="1"/>
  <c r="K168" i="1" s="1"/>
  <c r="M168" i="1" s="1"/>
  <c r="L168" i="1"/>
  <c r="J167" i="1"/>
  <c r="K167" i="1" s="1"/>
  <c r="K164" i="1" s="1"/>
  <c r="M164" i="1" s="1"/>
  <c r="L164" i="1"/>
  <c r="K163" i="1"/>
  <c r="K160" i="1" s="1"/>
  <c r="M160" i="1" s="1"/>
  <c r="J163" i="1"/>
  <c r="L160" i="1"/>
  <c r="J157" i="1"/>
  <c r="J156" i="1"/>
  <c r="K157" i="1" s="1"/>
  <c r="J154" i="1"/>
  <c r="J153" i="1"/>
  <c r="J152" i="1"/>
  <c r="J151" i="1"/>
  <c r="K154" i="1" s="1"/>
  <c r="K147" i="1" s="1"/>
  <c r="M147" i="1" s="1"/>
  <c r="L158" i="1" s="1"/>
  <c r="J150" i="1"/>
  <c r="L147" i="1"/>
  <c r="J144" i="1"/>
  <c r="J143" i="1"/>
  <c r="J142" i="1"/>
  <c r="J141" i="1"/>
  <c r="J140" i="1"/>
  <c r="J139" i="1"/>
  <c r="J138" i="1"/>
  <c r="K144" i="1" s="1"/>
  <c r="J137" i="1"/>
  <c r="J135" i="1"/>
  <c r="J134" i="1"/>
  <c r="J133" i="1"/>
  <c r="J132" i="1"/>
  <c r="J131" i="1"/>
  <c r="J130" i="1"/>
  <c r="J129" i="1"/>
  <c r="K135" i="1" s="1"/>
  <c r="J127" i="1"/>
  <c r="J126" i="1"/>
  <c r="J125" i="1"/>
  <c r="J124" i="1"/>
  <c r="J123" i="1"/>
  <c r="K127" i="1" s="1"/>
  <c r="K121" i="1"/>
  <c r="J121" i="1"/>
  <c r="J120" i="1"/>
  <c r="J119" i="1"/>
  <c r="J118" i="1"/>
  <c r="J117" i="1"/>
  <c r="J116" i="1"/>
  <c r="J114" i="1"/>
  <c r="J113" i="1"/>
  <c r="J112" i="1"/>
  <c r="J111" i="1"/>
  <c r="J110" i="1"/>
  <c r="K114" i="1" s="1"/>
  <c r="L107" i="1"/>
  <c r="K106" i="1"/>
  <c r="J106" i="1"/>
  <c r="J105" i="1"/>
  <c r="J104" i="1"/>
  <c r="J103" i="1"/>
  <c r="J102" i="1"/>
  <c r="J101" i="1"/>
  <c r="J100" i="1"/>
  <c r="J99" i="1"/>
  <c r="J97" i="1"/>
  <c r="J96" i="1"/>
  <c r="J95" i="1"/>
  <c r="J94" i="1"/>
  <c r="J93" i="1"/>
  <c r="J92" i="1"/>
  <c r="J91" i="1"/>
  <c r="K97" i="1" s="1"/>
  <c r="J89" i="1"/>
  <c r="J88" i="1"/>
  <c r="J87" i="1"/>
  <c r="J86" i="1"/>
  <c r="K89" i="1" s="1"/>
  <c r="J85" i="1"/>
  <c r="J83" i="1"/>
  <c r="J82" i="1"/>
  <c r="J81" i="1"/>
  <c r="J80" i="1"/>
  <c r="J79" i="1"/>
  <c r="J78" i="1"/>
  <c r="K83" i="1" s="1"/>
  <c r="J76" i="1"/>
  <c r="J75" i="1"/>
  <c r="K76" i="1" s="1"/>
  <c r="J74" i="1"/>
  <c r="J73" i="1"/>
  <c r="J72" i="1"/>
  <c r="L69" i="1"/>
  <c r="K68" i="1"/>
  <c r="J68" i="1"/>
  <c r="J67" i="1"/>
  <c r="J65" i="1"/>
  <c r="J64" i="1"/>
  <c r="J63" i="1"/>
  <c r="J62" i="1"/>
  <c r="J61" i="1"/>
  <c r="K65" i="1" s="1"/>
  <c r="K58" i="1" s="1"/>
  <c r="M58" i="1" s="1"/>
  <c r="L58" i="1"/>
  <c r="J57" i="1"/>
  <c r="K57" i="1" s="1"/>
  <c r="K54" i="1" s="1"/>
  <c r="M54" i="1" s="1"/>
  <c r="L54" i="1"/>
  <c r="J50" i="1"/>
  <c r="K50" i="1" s="1"/>
  <c r="K47" i="1" s="1"/>
  <c r="M47" i="1" s="1"/>
  <c r="L47" i="1"/>
  <c r="L45" i="1"/>
  <c r="K45" i="1"/>
  <c r="M45" i="1" s="1"/>
  <c r="L51" i="1" s="1"/>
  <c r="J42" i="1"/>
  <c r="J41" i="1"/>
  <c r="J40" i="1"/>
  <c r="J39" i="1"/>
  <c r="J38" i="1"/>
  <c r="K42" i="1" s="1"/>
  <c r="K35" i="1" s="1"/>
  <c r="M35" i="1" s="1"/>
  <c r="L35" i="1"/>
  <c r="J34" i="1"/>
  <c r="J33" i="1"/>
  <c r="K34" i="1" s="1"/>
  <c r="K30" i="1" s="1"/>
  <c r="M30" i="1" s="1"/>
  <c r="L43" i="1" s="1"/>
  <c r="L30" i="1"/>
  <c r="J26" i="1"/>
  <c r="K26" i="1" s="1"/>
  <c r="K18" i="1" s="1"/>
  <c r="M18" i="1" s="1"/>
  <c r="J25" i="1"/>
  <c r="J24" i="1"/>
  <c r="J23" i="1"/>
  <c r="J22" i="1"/>
  <c r="J21" i="1"/>
  <c r="L18" i="1"/>
  <c r="J17" i="1"/>
  <c r="J16" i="1"/>
  <c r="J15" i="1"/>
  <c r="J14" i="1"/>
  <c r="J13" i="1"/>
  <c r="J12" i="1"/>
  <c r="K17" i="1" s="1"/>
  <c r="K9" i="1" s="1"/>
  <c r="M9" i="1" s="1"/>
  <c r="L9" i="1"/>
  <c r="L44" i="1" l="1"/>
  <c r="M44" i="1" s="1"/>
  <c r="M51" i="1"/>
  <c r="K69" i="1"/>
  <c r="M69" i="1" s="1"/>
  <c r="L145" i="1" s="1"/>
  <c r="L189" i="1"/>
  <c r="M189" i="1" s="1"/>
  <c r="M194" i="1"/>
  <c r="M158" i="1"/>
  <c r="L146" i="1"/>
  <c r="M146" i="1" s="1"/>
  <c r="M209" i="1"/>
  <c r="L196" i="1"/>
  <c r="M196" i="1" s="1"/>
  <c r="L27" i="1"/>
  <c r="K107" i="1"/>
  <c r="M107" i="1" s="1"/>
  <c r="M43" i="1"/>
  <c r="L29" i="1"/>
  <c r="M29" i="1" s="1"/>
  <c r="L188" i="1"/>
  <c r="M213" i="1"/>
  <c r="L210" i="1"/>
  <c r="M210" i="1" s="1"/>
  <c r="L53" i="1" l="1"/>
  <c r="M53" i="1" s="1"/>
  <c r="M145" i="1"/>
  <c r="M188" i="1"/>
  <c r="L159" i="1"/>
  <c r="M159" i="1" s="1"/>
  <c r="L8" i="1"/>
  <c r="M8" i="1" s="1"/>
  <c r="M27" i="1"/>
  <c r="L28" i="1" s="1"/>
  <c r="M28" i="1" l="1"/>
  <c r="L52" i="1" s="1"/>
  <c r="L7" i="1"/>
  <c r="M7" i="1" s="1"/>
  <c r="L6" i="1" l="1"/>
  <c r="M6" i="1" s="1"/>
  <c r="M52" i="1"/>
  <c r="L195" i="1" s="1"/>
  <c r="L5" i="1" l="1"/>
  <c r="M5" i="1" s="1"/>
  <c r="M195" i="1"/>
  <c r="L214" i="1" s="1"/>
  <c r="M214" i="1" l="1"/>
  <c r="L4" i="1"/>
  <c r="M4" i="1" s="1"/>
</calcChain>
</file>

<file path=xl/sharedStrings.xml><?xml version="1.0" encoding="utf-8"?>
<sst xmlns="http://schemas.openxmlformats.org/spreadsheetml/2006/main" count="458" uniqueCount="458">
  <si>
    <t>Obra:</t>
  </si>
  <si>
    <t>Renovació de l'enllumenat públic de Palafolls</t>
  </si>
  <si>
    <t>Pressupost</t>
  </si>
  <si>
    <t>% C.I.</t>
  </si>
  <si>
    <t>Codi</t>
  </si>
  <si>
    <t>Tipus</t>
  </si>
  <si>
    <t>U</t>
  </si>
  <si>
    <t>Resum</t>
  </si>
  <si>
    <t>Quantitat</t>
  </si>
  <si>
    <t>Preu (€)</t>
  </si>
  <si>
    <t>Import (€)</t>
  </si>
  <si>
    <t>FASE 2 PALAFOLLS 5.09.2024</t>
  </si>
  <si>
    <t>Capítol</t>
  </si>
  <si>
    <t>Renovació de l'enllumenat públic de Palafolls</t>
  </si>
  <si>
    <t>LOT1</t>
  </si>
  <si>
    <t>Capítol</t>
  </si>
  <si>
    <t>LOT 1</t>
  </si>
  <si>
    <t>01</t>
  </si>
  <si>
    <t>Capítol</t>
  </si>
  <si>
    <t>LLUMINARIES i SUPORTS</t>
  </si>
  <si>
    <t>A</t>
  </si>
  <si>
    <t>Capítol</t>
  </si>
  <si>
    <t>Elements de control</t>
  </si>
  <si>
    <t>Q</t>
  </si>
  <si>
    <t>Capítol</t>
  </si>
  <si>
    <t>Quadres</t>
  </si>
  <si>
    <t>FG1AA204</t>
  </si>
  <si>
    <t>Partida</t>
  </si>
  <si>
    <t>u</t>
  </si>
  <si>
    <t>Quadre nou</t>
  </si>
  <si>
    <t>ARMARI D'ACER INOXIDABLE   FINS 6 sortides,  DE DIMENSIONS MÍNIMES 1250*1340*320 MM, PER A SERVEI EXTERIOR, FINS 6 SORTIDES CADASCUNA D'ELLES AMB PROTECCIO MAGNETOTERMICA I DIFERENCIAL REARMABLE INCLOS, AMB EQUIP DE MESURA INCLOS PER A TARIFA 2.0 TOTALMENT ACABAT. Inclos sòcol de formigó i ancoratges.</t>
  </si>
  <si>
    <t>Uts.</t>
  </si>
  <si>
    <t>Llargada</t>
  </si>
  <si>
    <t>Amplada</t>
  </si>
  <si>
    <t>Alçada</t>
  </si>
  <si>
    <t>Parcial</t>
  </si>
  <si>
    <t>Subtotal</t>
  </si>
  <si>
    <t>EP18</t>
  </si>
  <si>
    <t>EP19</t>
  </si>
  <si>
    <t>EP20</t>
  </si>
  <si>
    <t>EP21</t>
  </si>
  <si>
    <t>EP22</t>
  </si>
  <si>
    <t>EP26</t>
  </si>
  <si>
    <t>ZGZ10398</t>
  </si>
  <si>
    <t>Partida</t>
  </si>
  <si>
    <t>PA</t>
  </si>
  <si>
    <t>Legalització d'instal·lació elèctrica</t>
  </si>
  <si>
    <t>Projecte elèctric de la instal·lació segons instrucció 1-2015 o bé REBT-2002, amb certificat final d'instal·lador i certificat tècnic, i inscripció al RITSIC. Per a tots els quadres elèctrics corresponents a l'enllumenat públic del municipi.</t>
  </si>
  <si>
    <t>fase 2</t>
  </si>
  <si>
    <t>Uts.</t>
  </si>
  <si>
    <t>Llargada</t>
  </si>
  <si>
    <t>Amplada</t>
  </si>
  <si>
    <t>Alçada</t>
  </si>
  <si>
    <t>Parcial</t>
  </si>
  <si>
    <t>Subtotal</t>
  </si>
  <si>
    <t>EP18</t>
  </si>
  <si>
    <t>EP19</t>
  </si>
  <si>
    <t>EP20</t>
  </si>
  <si>
    <t>EP21</t>
  </si>
  <si>
    <t>EP22</t>
  </si>
  <si>
    <t>EP26</t>
  </si>
  <si>
    <t>Q</t>
  </si>
  <si>
    <t>A</t>
  </si>
  <si>
    <t>B</t>
  </si>
  <si>
    <t>Capítol</t>
  </si>
  <si>
    <t>Il·luminació viària</t>
  </si>
  <si>
    <t>TIF005c</t>
  </si>
  <si>
    <t>Partida</t>
  </si>
  <si>
    <t>u</t>
  </si>
  <si>
    <t>Llumenera DECORATIVA lira</t>
  </si>
  <si>
    <t>Subministrament i instal.lació de llumenera tipus DECORATIVA LIRA de un o dos braços, amb tecnologia LED regulable sense línia de comandament, amb una potència de consum de fins 60W, inclòs protecció de sobretensions permanents i transitòries. 
La llumenera tindrà marcatge CE, una vida mínima en servei del sistema de 50.000 hores, compatibilitat electromagnètica superada, una garantia de 10 anys (de llumenera, equip, grup òptic i matriu de LED, inclòs la seva reposició), temperatura de color 3000K, CRI&gt;65, FP&gt;0.9 i IP66 IK9. La regulació ha de permetre diferents nivells amb diferents percentatges de regulació (de 100% a 10%) i diferents programes horaris, i ha de permetre també poder-se modificar la programació un cop fabricat en cas d'ésser necessari. S'inclou retirada de l'antiga llumenera, el desmuntatge de la reactància i del condensador existent, a qualsevol alçada. El transport del material i el cànon d'abocador corresponent. Instal.lada i comprovada. També inclou adaptadors a suport existent, i la part proporcional de seguretat i salut.</t>
  </si>
  <si>
    <t>Uts.</t>
  </si>
  <si>
    <t>Llargada</t>
  </si>
  <si>
    <t>Amplada</t>
  </si>
  <si>
    <t>Alçada</t>
  </si>
  <si>
    <t>Parcial</t>
  </si>
  <si>
    <t>Subtotal</t>
  </si>
  <si>
    <t>EP20</t>
  </si>
  <si>
    <t>EP21</t>
  </si>
  <si>
    <t>TIF010d</t>
  </si>
  <si>
    <t>Partida</t>
  </si>
  <si>
    <t>u</t>
  </si>
  <si>
    <t>Llumenera VIAL</t>
  </si>
  <si>
    <t>Subministrament i instal.lació de llumenera tipus Vial gran, amb tecnologia LED regulable sense línia de comandament, amb una potència de consum de fins 120W, inclòs protecció de sobretensions permanents i transitòries. 
La llumenera tindrà marcatge CE, una vida mínima en servei del sistema de 50.000 hores, compatibilitat electromagnètica superada, una garantia de 10 anys (de llumenera, equip, grup òptic i matriu de LED, inclòs la seva reposició), temperatura de color 3000+-300K, CRI&gt;65, FP&gt;0.9 i IP66. La regulació ha de permetre diferents nivells amb diferents percentatges de regulació (de 100% a 10%) i diferents programes horaris, i ha de permetre també poder-se modificar la programació un cop fabricat en cas d'ésser necessari. S'inclou el desmuntatge i retirada de l'antiga llumenera, el muntatge i connexió de la nova, el desmuntatge de la reactància i del condensador existent, a qualsevol alçada. El transport del material i el cànon d'abocador corresponent. També inclou la maquinària, adaptadors a suport existent, i la mà d'obra necessària per portar a terme aquestes actuacions. La part proporcional de seguretat i salut.</t>
  </si>
  <si>
    <t>Uts.</t>
  </si>
  <si>
    <t>Llargada</t>
  </si>
  <si>
    <t>Amplada</t>
  </si>
  <si>
    <t>Alçada</t>
  </si>
  <si>
    <t>Parcial</t>
  </si>
  <si>
    <t>Subtotal</t>
  </si>
  <si>
    <t>EP18</t>
  </si>
  <si>
    <t>EP19</t>
  </si>
  <si>
    <t>EP20</t>
  </si>
  <si>
    <t>EP21</t>
  </si>
  <si>
    <t>EP22</t>
  </si>
  <si>
    <t>B</t>
  </si>
  <si>
    <t>C</t>
  </si>
  <si>
    <t>Capítol</t>
  </si>
  <si>
    <t>Suports</t>
  </si>
  <si>
    <t>FHM11L22</t>
  </si>
  <si>
    <t>Partida</t>
  </si>
  <si>
    <t>u</t>
  </si>
  <si>
    <t>Columna planxa ac.galv.troncocònica,h=7m,base plat.+porta+fus,UNE-EN 40-5,dau form.</t>
  </si>
  <si>
    <t>Columna de planxa d'acer galvanitzat, de forma troncocònica, de 8 m d'alçària, coronament sense platina, amb base platina i porta, amb caixa de fusibles, segons norma UNE-EN 40-5, col·locada sobre dau de formigó inclos dau de formigó</t>
  </si>
  <si>
    <t>GHM11C22</t>
  </si>
  <si>
    <t>Partida</t>
  </si>
  <si>
    <t>u</t>
  </si>
  <si>
    <t>Columna planxa ac.galv.troncocònica,h=4m,base plat.+porta,UNE-EN 40-5,dau form.</t>
  </si>
  <si>
    <t>Columna de planxa d'acer galvanitzat, de forma troncocònica, de 4 m d'alçària, coronament sense platina, amb base platina i porta, segons norma UNE-EN 40-5, col·locada sobre dau de formigó</t>
  </si>
  <si>
    <t>Uts.</t>
  </si>
  <si>
    <t>Llargada</t>
  </si>
  <si>
    <t>Amplada</t>
  </si>
  <si>
    <t>Alçada</t>
  </si>
  <si>
    <t>Parcial</t>
  </si>
  <si>
    <t>Subtotal</t>
  </si>
  <si>
    <t>EP20</t>
  </si>
  <si>
    <t>C</t>
  </si>
  <si>
    <t>01</t>
  </si>
  <si>
    <t>02</t>
  </si>
  <si>
    <t>Capítol</t>
  </si>
  <si>
    <t>CANALITZACIONS i CONDUCTORS</t>
  </si>
  <si>
    <t>FHMZ0040</t>
  </si>
  <si>
    <t>Partida</t>
  </si>
  <si>
    <t>UT</t>
  </si>
  <si>
    <t>Posada a terra d'element metàl·lic equipotencial</t>
  </si>
  <si>
    <t>Posada a terra d'element metàl·lic accessible amb conductor de coure de 1*16 mm² de secció encastat al paviment amb part proporcional d'accessoris i rotura i reposició de paviment.</t>
  </si>
  <si>
    <t>Uts.</t>
  </si>
  <si>
    <t>Llargada</t>
  </si>
  <si>
    <t>Amplada</t>
  </si>
  <si>
    <t>Alçada</t>
  </si>
  <si>
    <t>Parcial</t>
  </si>
  <si>
    <t>Subtotal</t>
  </si>
  <si>
    <t>PREVISIO DE CONNEXIÓ EQUIPOTENCIAL ELEMENTS ACCESSIBLES</t>
  </si>
  <si>
    <t>FGD2121D</t>
  </si>
  <si>
    <t>Partida</t>
  </si>
  <si>
    <t>u</t>
  </si>
  <si>
    <t>SiC Placa connex.terra Cu estel(cal.),S=0,3m2,g=2mm,soterra.amb accessoris</t>
  </si>
  <si>
    <t>Suministre i col.locacio de Placa de connexió a terra de coure, en forma d'estel (calada), de superfície 0,3 m2, de 2 mm de gruix i soterrada, connectada a la xarxa de terra, amb accesoris. en basaments nous.</t>
  </si>
  <si>
    <t>Vials</t>
  </si>
  <si>
    <t>Uts.</t>
  </si>
  <si>
    <t>Llargada</t>
  </si>
  <si>
    <t>Amplada</t>
  </si>
  <si>
    <t>Alçada</t>
  </si>
  <si>
    <t>Parcial</t>
  </si>
  <si>
    <t>Subtotal</t>
  </si>
  <si>
    <t>EP20</t>
  </si>
  <si>
    <t>EP21</t>
  </si>
  <si>
    <t>EP22</t>
  </si>
  <si>
    <t>EP18</t>
  </si>
  <si>
    <t>EP19</t>
  </si>
  <si>
    <t>Decoratives</t>
  </si>
  <si>
    <t>Uts.</t>
  </si>
  <si>
    <t>Llargada</t>
  </si>
  <si>
    <t>Amplada</t>
  </si>
  <si>
    <t>Alçada</t>
  </si>
  <si>
    <t>Parcial</t>
  </si>
  <si>
    <t>Subtotal</t>
  </si>
  <si>
    <t>EP20</t>
  </si>
  <si>
    <t>EP21</t>
  </si>
  <si>
    <t>EG314506</t>
  </si>
  <si>
    <t>Partida</t>
  </si>
  <si>
    <t>m</t>
  </si>
  <si>
    <t>SIC Conductor Cu,UNE RV-K 0,6/1 kV,4x6mm2,col.tub</t>
  </si>
  <si>
    <t>Suministre i colocacio de Conductor de coure de designació UNE RV-K 0,6/1 kV, tetrapolar de secció 4x6 mm2, col.locat en tub</t>
  </si>
  <si>
    <t>Uts.</t>
  </si>
  <si>
    <t>Llargada</t>
  </si>
  <si>
    <t>Amplada</t>
  </si>
  <si>
    <t>Alçada</t>
  </si>
  <si>
    <t>Parcial</t>
  </si>
  <si>
    <t>Subtotal</t>
  </si>
  <si>
    <t>EP18</t>
  </si>
  <si>
    <t>EP18</t>
  </si>
  <si>
    <t>EP18</t>
  </si>
  <si>
    <t>EP18</t>
  </si>
  <si>
    <t>EP18</t>
  </si>
  <si>
    <t>Uts.</t>
  </si>
  <si>
    <t>Llargada</t>
  </si>
  <si>
    <t>Amplada</t>
  </si>
  <si>
    <t>Alçada</t>
  </si>
  <si>
    <t>Parcial</t>
  </si>
  <si>
    <t>Subtotal</t>
  </si>
  <si>
    <t>EP19</t>
  </si>
  <si>
    <t>EP19</t>
  </si>
  <si>
    <t>EP19</t>
  </si>
  <si>
    <t>EP19</t>
  </si>
  <si>
    <t>EP19</t>
  </si>
  <si>
    <t>EP19</t>
  </si>
  <si>
    <t>Uts.</t>
  </si>
  <si>
    <t>Llargada</t>
  </si>
  <si>
    <t>Amplada</t>
  </si>
  <si>
    <t>Alçada</t>
  </si>
  <si>
    <t>Parcial</t>
  </si>
  <si>
    <t>Subtotal</t>
  </si>
  <si>
    <t>EP20</t>
  </si>
  <si>
    <t>EP20</t>
  </si>
  <si>
    <t>EP20</t>
  </si>
  <si>
    <t>EP20</t>
  </si>
  <si>
    <t>EP20</t>
  </si>
  <si>
    <t>Uts.</t>
  </si>
  <si>
    <t>Llargada</t>
  </si>
  <si>
    <t>Amplada</t>
  </si>
  <si>
    <t>Alçada</t>
  </si>
  <si>
    <t>Parcial</t>
  </si>
  <si>
    <t>Subtotal</t>
  </si>
  <si>
    <t>EP21</t>
  </si>
  <si>
    <t>EP21</t>
  </si>
  <si>
    <t>EP21</t>
  </si>
  <si>
    <t>EP21</t>
  </si>
  <si>
    <t>EP21</t>
  </si>
  <si>
    <t>EP21</t>
  </si>
  <si>
    <t>EP21</t>
  </si>
  <si>
    <t>Uts.</t>
  </si>
  <si>
    <t>Llargada</t>
  </si>
  <si>
    <t>Amplada</t>
  </si>
  <si>
    <t>Alçada</t>
  </si>
  <si>
    <t>Parcial</t>
  </si>
  <si>
    <t>Subtotal</t>
  </si>
  <si>
    <t>EP22</t>
  </si>
  <si>
    <t>EP22</t>
  </si>
  <si>
    <t>EP22</t>
  </si>
  <si>
    <t>EP22</t>
  </si>
  <si>
    <t>EP22</t>
  </si>
  <si>
    <t>EP22</t>
  </si>
  <si>
    <t>EP22</t>
  </si>
  <si>
    <t>EP22</t>
  </si>
  <si>
    <t>FG380902</t>
  </si>
  <si>
    <t>Partida</t>
  </si>
  <si>
    <t>m</t>
  </si>
  <si>
    <t>SIC Conductor aïllat de terra, 1x16mm2,col.tub</t>
  </si>
  <si>
    <t>Suministre i colocacio Conductor aïllat de terra d'enllumenat públic format per cable unipolar H07Z1-K (AS), reacció al foc classe B2ca-s1a,d1,a1, amb conductor multifilar de coure classe 5 (-K) de 16 mm2 de secció, amb aïllament de compost termoplàstic a força de polilefina lliure de halògens amb baixa emissió de fums i gasos corrosius (Z1).</t>
  </si>
  <si>
    <t>Uts.</t>
  </si>
  <si>
    <t>Llargada</t>
  </si>
  <si>
    <t>Amplada</t>
  </si>
  <si>
    <t>Alçada</t>
  </si>
  <si>
    <t>Parcial</t>
  </si>
  <si>
    <t>Subtotal</t>
  </si>
  <si>
    <t>EP18</t>
  </si>
  <si>
    <t>EP18</t>
  </si>
  <si>
    <t>EP18</t>
  </si>
  <si>
    <t>EP18</t>
  </si>
  <si>
    <t>EP18</t>
  </si>
  <si>
    <t>Uts.</t>
  </si>
  <si>
    <t>Llargada</t>
  </si>
  <si>
    <t>Amplada</t>
  </si>
  <si>
    <t>Alçada</t>
  </si>
  <si>
    <t>Parcial</t>
  </si>
  <si>
    <t>Subtotal</t>
  </si>
  <si>
    <t>EP19</t>
  </si>
  <si>
    <t>EP19</t>
  </si>
  <si>
    <t>EP19</t>
  </si>
  <si>
    <t>EP19</t>
  </si>
  <si>
    <t>EP19</t>
  </si>
  <si>
    <t>EP19</t>
  </si>
  <si>
    <t>Uts.</t>
  </si>
  <si>
    <t>Llargada</t>
  </si>
  <si>
    <t>Amplada</t>
  </si>
  <si>
    <t>Alçada</t>
  </si>
  <si>
    <t>Parcial</t>
  </si>
  <si>
    <t>Subtotal</t>
  </si>
  <si>
    <t>EP20</t>
  </si>
  <si>
    <t>EP20</t>
  </si>
  <si>
    <t>EP20</t>
  </si>
  <si>
    <t>EP20</t>
  </si>
  <si>
    <t>EP20</t>
  </si>
  <si>
    <t>Uts.</t>
  </si>
  <si>
    <t>Llargada</t>
  </si>
  <si>
    <t>Amplada</t>
  </si>
  <si>
    <t>Alçada</t>
  </si>
  <si>
    <t>Parcial</t>
  </si>
  <si>
    <t>Subtotal</t>
  </si>
  <si>
    <t>EP21</t>
  </si>
  <si>
    <t>EP21</t>
  </si>
  <si>
    <t>EP21</t>
  </si>
  <si>
    <t>EP21</t>
  </si>
  <si>
    <t>EP21</t>
  </si>
  <si>
    <t>EP21</t>
  </si>
  <si>
    <t>EP21</t>
  </si>
  <si>
    <t>Uts.</t>
  </si>
  <si>
    <t>Llargada</t>
  </si>
  <si>
    <t>Amplada</t>
  </si>
  <si>
    <t>Alçada</t>
  </si>
  <si>
    <t>Parcial</t>
  </si>
  <si>
    <t>Subtotal</t>
  </si>
  <si>
    <t>EP22</t>
  </si>
  <si>
    <t>EP22</t>
  </si>
  <si>
    <t>EP22</t>
  </si>
  <si>
    <t>EP22</t>
  </si>
  <si>
    <t>EP22</t>
  </si>
  <si>
    <t>EP22</t>
  </si>
  <si>
    <t>EP22</t>
  </si>
  <si>
    <t>EP22</t>
  </si>
  <si>
    <t>02</t>
  </si>
  <si>
    <t>03</t>
  </si>
  <si>
    <t>Capítol</t>
  </si>
  <si>
    <t>OBRA CIVIL</t>
  </si>
  <si>
    <t>FHM22401</t>
  </si>
  <si>
    <t>Partida</t>
  </si>
  <si>
    <t>u</t>
  </si>
  <si>
    <t>Instalació i canvi de cable a columna a Ciutat Jardí. Repicat de vorera i calçada, i reposició de paviment. Connexio dels tubs existents per entrar sota la columna, connexio dels cables a la caixa de fusibles. Inclos cable baixant des del punt de llum i caixa de fusibles.</t>
  </si>
  <si>
    <t>Instalació i canvi de cable a columna (En tots els quadres de Fase2) Repicat de vorera i calçada, connexio dels tubs existents per entrar sota la columna, connexio dels cables a la caixa de fusibles. Inclos cable baixant des del punt de llum i caixa de fusibles.</t>
  </si>
  <si>
    <t>Vials</t>
  </si>
  <si>
    <t>Uts.</t>
  </si>
  <si>
    <t>Llargada</t>
  </si>
  <si>
    <t>Amplada</t>
  </si>
  <si>
    <t>Alçada</t>
  </si>
  <si>
    <t>Parcial</t>
  </si>
  <si>
    <t>Subtotal</t>
  </si>
  <si>
    <t>EP20</t>
  </si>
  <si>
    <t>EP21</t>
  </si>
  <si>
    <t>EP22</t>
  </si>
  <si>
    <t>EP18</t>
  </si>
  <si>
    <t>EP19</t>
  </si>
  <si>
    <t>Decoratives</t>
  </si>
  <si>
    <t>Uts.</t>
  </si>
  <si>
    <t>Llargada</t>
  </si>
  <si>
    <t>Amplada</t>
  </si>
  <si>
    <t>Alçada</t>
  </si>
  <si>
    <t>Parcial</t>
  </si>
  <si>
    <t>Subtotal</t>
  </si>
  <si>
    <t>EP20</t>
  </si>
  <si>
    <t>EP21</t>
  </si>
  <si>
    <t>03</t>
  </si>
  <si>
    <t>04</t>
  </si>
  <si>
    <t>Capítol</t>
  </si>
  <si>
    <t>SEGURETAT i SALUT</t>
  </si>
  <si>
    <t>HQU2GF01</t>
  </si>
  <si>
    <t>Partida</t>
  </si>
  <si>
    <t>u</t>
  </si>
  <si>
    <t>Recipient p/escombraries,100l,col.+desmunt.inclòs</t>
  </si>
  <si>
    <t>Recipient per a recollida d'escombraries, de 100 l de capacitat, col.locat i amb el desmuntatge inclòs</t>
  </si>
  <si>
    <t>Uts.</t>
  </si>
  <si>
    <t>Llargada</t>
  </si>
  <si>
    <t>Amplada</t>
  </si>
  <si>
    <t>Alçada</t>
  </si>
  <si>
    <t>Parcial</t>
  </si>
  <si>
    <t>Subtotal</t>
  </si>
  <si>
    <t>part proporcional</t>
  </si>
  <si>
    <t>GM31261J</t>
  </si>
  <si>
    <t>Partida</t>
  </si>
  <si>
    <t>u</t>
  </si>
  <si>
    <t>Extintor manual pols seca poliv.,6kg,pressió incorpo.,pintat,sup.paret</t>
  </si>
  <si>
    <t>Extintor manual de pols seca polivalent, de càrrega 6 kg, amb pressió incorporada, pintat, amb suport a paret</t>
  </si>
  <si>
    <t>Uts.</t>
  </si>
  <si>
    <t>Llargada</t>
  </si>
  <si>
    <t>Amplada</t>
  </si>
  <si>
    <t>Alçada</t>
  </si>
  <si>
    <t>Parcial</t>
  </si>
  <si>
    <t>Subtotal</t>
  </si>
  <si>
    <t>part proporcional</t>
  </si>
  <si>
    <t>HBC19081</t>
  </si>
  <si>
    <t>Partida</t>
  </si>
  <si>
    <t>m</t>
  </si>
  <si>
    <t>Cinta abalis.,suport/5m,desmuntatge</t>
  </si>
  <si>
    <t>Cinta d'abalisament, amb un suport cada 5 m i amb el desmuntatge inclòs</t>
  </si>
  <si>
    <t>Uts.</t>
  </si>
  <si>
    <t>Llargada</t>
  </si>
  <si>
    <t>Amplada</t>
  </si>
  <si>
    <t>Alçada</t>
  </si>
  <si>
    <t>Parcial</t>
  </si>
  <si>
    <t>Subtotal</t>
  </si>
  <si>
    <t>PREVISIO</t>
  </si>
  <si>
    <t>HBBA1500</t>
  </si>
  <si>
    <t>Partida</t>
  </si>
  <si>
    <t>U</t>
  </si>
  <si>
    <t>Placa de seguretat</t>
  </si>
  <si>
    <t>Placa</t>
  </si>
  <si>
    <t>Uts.</t>
  </si>
  <si>
    <t>Parcial</t>
  </si>
  <si>
    <t>Subtotal</t>
  </si>
  <si>
    <t>A</t>
  </si>
  <si>
    <t>PREVISIO</t>
  </si>
  <si>
    <t>H1487460</t>
  </si>
  <si>
    <t>Partida</t>
  </si>
  <si>
    <t>u</t>
  </si>
  <si>
    <t>Impermeable amb jaqueta, caputxa i pantalons per a obres públiques, de PVC soldat de 0.4 mm de gruix</t>
  </si>
  <si>
    <t>Impermeable amb jaqueta, caputxa i pantalons per a obres públiques, de PVC soldat de 0.4 mm de gruix, de color viu, homologat segons UNE EN 340</t>
  </si>
  <si>
    <t>Uts.</t>
  </si>
  <si>
    <t>Parcial</t>
  </si>
  <si>
    <t>Subtotal</t>
  </si>
  <si>
    <t>A</t>
  </si>
  <si>
    <t>H1421110</t>
  </si>
  <si>
    <t>Partida</t>
  </si>
  <si>
    <t>u</t>
  </si>
  <si>
    <t>Ulleres antiimp.st.,muntura univ.,visor transp.c/entelam.,UNE-EN 167/UNE-EN 168</t>
  </si>
  <si>
    <t>Ulleres de seguretat antiimpactes estàndard, amb muntura universal, amb visor transparent i tractament contra l'entelament, homologades segons UNE-EN 167 i UNE-EN 168</t>
  </si>
  <si>
    <t>H1451110</t>
  </si>
  <si>
    <t>Partida</t>
  </si>
  <si>
    <t>u</t>
  </si>
  <si>
    <t>Guants p/ús gral.,pell+cotó,subj.canell</t>
  </si>
  <si>
    <t>Parella de guants per a ús general, amb palmell, artells, ungles i dits índex i polze de pell, dors de la mà i maniguet de cotó, folre interior, i subjecció elàstica al canell</t>
  </si>
  <si>
    <t>H1461110</t>
  </si>
  <si>
    <t>Partida</t>
  </si>
  <si>
    <t>u</t>
  </si>
  <si>
    <t>Parella botes aigua,PVC,canya alta+sola antilliscant,UNE-EN 344/345/346/347</t>
  </si>
  <si>
    <t>Parella de botes d'aigua de PVC de canya alta, amb sola antilliscant i folrades de niló rentable, homologades segons UNE-EN 344, UNE-EN 345,UNE-EN 346 y UNE EN 347</t>
  </si>
  <si>
    <t>HQU1B130</t>
  </si>
  <si>
    <t>Partida</t>
  </si>
  <si>
    <t>mes</t>
  </si>
  <si>
    <t>Llog.mòd.pref.sanitaris 2,4x2,6m</t>
  </si>
  <si>
    <t>Lloguer de mòdul prefabricat per a equipament sanitaris a obra de 2,4x2,6 m amb tancaments formats per placa de dues planxes d'acer prelacat i aïllament interior de 40mm de gruix i paviment format per tauler aglomarat hidròfug amb acabat de PVC sobre xapa galvanitzada i llana mineral de vidre, instal·lació elèctrica 1 punt de llum, interruptor, endolls i protecció diferencial, i equipat amb 1 inodor,2 dutxes,lavabo col·lectiu amb 1 aixeta i termos elèctric 50 litres</t>
  </si>
  <si>
    <t>04</t>
  </si>
  <si>
    <t>05</t>
  </si>
  <si>
    <t>Capítol</t>
  </si>
  <si>
    <t>Altres</t>
  </si>
  <si>
    <t>Z0000A12</t>
  </si>
  <si>
    <t>Partida</t>
  </si>
  <si>
    <t>LUXOMETRIA DELS VALORS LUMÍNICS FINALS, ACABADA LA OBRA</t>
  </si>
  <si>
    <t>LUXOMETRIA DELS VALORS LUMÍNICS FINALS, ACABADA LA OBRA</t>
  </si>
  <si>
    <t>Z0000A10</t>
  </si>
  <si>
    <t>Partida</t>
  </si>
  <si>
    <t>PA</t>
  </si>
  <si>
    <t>Imprevistos</t>
  </si>
  <si>
    <t>Imprevistos (a justificar amb factures ) aprox 5%.</t>
  </si>
  <si>
    <t>05</t>
  </si>
  <si>
    <t>LOT1</t>
  </si>
  <si>
    <t>LOT2</t>
  </si>
  <si>
    <t>Capítol</t>
  </si>
  <si>
    <t>LOT 2. Punts solars fotovoltaics</t>
  </si>
  <si>
    <t>FHN635A4</t>
  </si>
  <si>
    <t>Partida</t>
  </si>
  <si>
    <t>u</t>
  </si>
  <si>
    <t>SiC Lluminària LED p/ exterior FOTOVOLTAIC distrib.simètrica,cos alumini fos,mòdul 49 LED,equip elèctr. no regulable, fins pot=40W,flux lluminós 5040 lumen,classe I,IP-65,IK08, amb columna 5m  i accessori p/fix.later.acoblat al suport, amb basament de formigo</t>
  </si>
  <si>
    <t>Suministre i col.locació de Lluminària 
LED per a exterior d'alimentació solar fotovoltaica de distribució simètrica amb difusor de vidre i cos alumini fos, equipat amb un mòdul de 49 LED i un dispositiu d'alimentació i control regulable de 40 W de potència total, flux lluminós 5040 lumen, temperatura de color 3000 K, vida útil &gt;=83000, aïllament elèctric de classe I, grau de protecció IP-65 i IK08 amb accessori amb columna de 5m, regulador, bateries i placa fotovoltaica, amb basament de formigó de 60x60x80 i ferratges.</t>
  </si>
  <si>
    <t>Uts.</t>
  </si>
  <si>
    <t>Llargada</t>
  </si>
  <si>
    <t>Amplada</t>
  </si>
  <si>
    <t>Alçada</t>
  </si>
  <si>
    <t>Parcial</t>
  </si>
  <si>
    <t>Subtotal</t>
  </si>
  <si>
    <t>Can Pol</t>
  </si>
  <si>
    <t>Passeig 1 d'octubre</t>
  </si>
  <si>
    <t>C/ Vallplana</t>
  </si>
  <si>
    <t>FGD2121D</t>
  </si>
  <si>
    <t>Partida</t>
  </si>
  <si>
    <t>u</t>
  </si>
  <si>
    <t>SiC Placa connex.terra Cu estel(cal.),S=0,3m2,g=2mm,soterra.amb accessoris</t>
  </si>
  <si>
    <t>Suministre i col.locacio de Placa de connexió a terra de coure, en forma d'estel (calada), de superfície 0,3 m2, de 2 mm de gruix i soterrada, connectada a la xarxa de terra, amb accesoris. en basaments nous.</t>
  </si>
  <si>
    <t>Llumeneres solars fotovoltaiques</t>
  </si>
  <si>
    <t>Uts.</t>
  </si>
  <si>
    <t>Llargada</t>
  </si>
  <si>
    <t>Amplada</t>
  </si>
  <si>
    <t>Alçada</t>
  </si>
  <si>
    <t>Parcial</t>
  </si>
  <si>
    <t>Subtotal</t>
  </si>
  <si>
    <t>Can Pol</t>
  </si>
  <si>
    <t>Passeig 1 d'octubre</t>
  </si>
  <si>
    <t>C/ Vallplana</t>
  </si>
  <si>
    <t>LOT2</t>
  </si>
  <si>
    <t>Telegestio</t>
  </si>
  <si>
    <t>Capítol</t>
  </si>
  <si>
    <t>Telegestio</t>
  </si>
  <si>
    <t>IUP130</t>
  </si>
  <si>
    <t>Partida</t>
  </si>
  <si>
    <t>U</t>
  </si>
  <si>
    <t>Equip de telegestió a quadre Bidireccional. Amb connexio a internet.Inclos part proporcional de software de control a l'Ajuntament.</t>
  </si>
  <si>
    <t>Equip de telegestió a quadre. Bidireccional. Amb connexio a internet.Inclos part proporcional de software de control a l'Ajuntament.
-    Analitzador de xarxes: Mesura en continu i per fase de tensió, corrent, potència activa i reactiva.
-    Emmagatzematge de dades de l’últim any.
-    Lectura i variació de el rellotge d’encesa i apagada de l’enllumenat en remot.
-    Detecció de línies caigudes per fallada de línia (diferencial o magneto tèrmic).
-    Alarmes per mal funcionament o indicadors preestablerts, i comunicació a l’operador.
-    Comunicació per GSM, Ethernet o fibra òptica. Bidireccional.
-    Part proporcional de software de control a l'Ajuntament integrat.</t>
  </si>
  <si>
    <t>Telegestio</t>
  </si>
  <si>
    <t>FASE 2 PALAFOLLS 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</si>
</sst>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2"/>
      <color rgb="FF000000"/>
      <name val="Verdana"/>
      <family val="2"/>
    </font>
    <font>
      <b/>
      <sz val="9.9499999999999993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rgb="FF1010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FFFBF"/>
      </patternFill>
    </fill>
    <fill>
      <patternFill patternType="solid">
        <fgColor rgb="FF269900"/>
      </patternFill>
    </fill>
    <fill>
      <patternFill patternType="solid">
        <fgColor rgb="FF3FB219"/>
      </patternFill>
    </fill>
    <fill>
      <patternFill patternType="solid">
        <fgColor rgb="FF58CB32"/>
      </patternFill>
    </fill>
    <fill>
      <patternFill patternType="solid">
        <fgColor rgb="FF71E44B"/>
      </patternFill>
    </fill>
    <fill>
      <patternFill patternType="solid">
        <fgColor rgb="FF8AFD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>
      <alignment horizontal="left" vertical="center"/>
    </xf>
    <xf numFmtId="0" fontId="1" fillId="2" borderId="0" xfId="0" applyFont="1" applyFill="1" applyAlignment="1">
      <alignment horizontal="right" vertical="top" wrapText="1"/>
    </xf>
    <xf numFmtId="0" fontId="0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4" fontId="4" fillId="3" borderId="2" xfId="0" applyNumberFormat="1" applyFont="1" applyFill="1" applyBorder="1" applyAlignment="1">
      <alignment horizontal="right" vertical="top" wrapText="1"/>
    </xf>
    <xf numFmtId="0" fontId="4" fillId="4" borderId="0" xfId="0" applyFont="1" applyFill="1" applyAlignment="1">
      <alignment horizontal="left" vertical="top" wrapText="1"/>
    </xf>
    <xf numFmtId="0" fontId="0" fillId="4" borderId="0" xfId="0" applyFont="1" applyFill="1" applyAlignment="1">
      <alignment horizontal="left" vertical="top" wrapText="1"/>
    </xf>
    <xf numFmtId="4" fontId="4" fillId="4" borderId="0" xfId="0" applyNumberFormat="1" applyFont="1" applyFill="1" applyAlignment="1">
      <alignment horizontal="right" vertical="top" wrapText="1"/>
    </xf>
    <xf numFmtId="0" fontId="4" fillId="5" borderId="0" xfId="0" applyFont="1" applyFill="1" applyAlignment="1">
      <alignment horizontal="left" vertical="top" wrapText="1"/>
    </xf>
    <xf numFmtId="0" fontId="0" fillId="5" borderId="0" xfId="0" applyFont="1" applyFill="1" applyAlignment="1">
      <alignment horizontal="left" vertical="top" wrapText="1"/>
    </xf>
    <xf numFmtId="4" fontId="4" fillId="5" borderId="0" xfId="0" applyNumberFormat="1" applyFont="1" applyFill="1" applyAlignment="1">
      <alignment horizontal="right" vertical="top" wrapText="1"/>
    </xf>
    <xf numFmtId="0" fontId="4" fillId="6" borderId="0" xfId="0" applyFont="1" applyFill="1" applyAlignment="1">
      <alignment horizontal="left" vertical="top" wrapText="1"/>
    </xf>
    <xf numFmtId="0" fontId="0" fillId="6" borderId="0" xfId="0" applyFont="1" applyFill="1" applyAlignment="1">
      <alignment horizontal="left" vertical="top" wrapText="1"/>
    </xf>
    <xf numFmtId="4" fontId="4" fillId="6" borderId="0" xfId="0" applyNumberFormat="1" applyFont="1" applyFill="1" applyAlignment="1">
      <alignment horizontal="right" vertical="top" wrapText="1"/>
    </xf>
    <xf numFmtId="0" fontId="4" fillId="7" borderId="0" xfId="0" applyFont="1" applyFill="1" applyAlignment="1">
      <alignment horizontal="left" vertical="top" wrapText="1"/>
    </xf>
    <xf numFmtId="0" fontId="0" fillId="7" borderId="0" xfId="0" applyFont="1" applyFill="1" applyAlignment="1">
      <alignment horizontal="left" vertical="top" wrapText="1"/>
    </xf>
    <xf numFmtId="4" fontId="4" fillId="7" borderId="0" xfId="0" applyNumberFormat="1" applyFont="1" applyFill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4" xfId="0" applyNumberFormat="1" applyFont="1" applyBorder="1" applyAlignment="1">
      <alignment horizontal="right" vertical="top" wrapText="1"/>
    </xf>
    <xf numFmtId="0" fontId="0" fillId="0" borderId="4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right" vertical="top" wrapText="1"/>
    </xf>
    <xf numFmtId="0" fontId="0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 wrapText="1"/>
    </xf>
    <xf numFmtId="4" fontId="4" fillId="7" borderId="1" xfId="0" applyNumberFormat="1" applyFont="1" applyFill="1" applyBorder="1" applyAlignment="1">
      <alignment horizontal="right" vertical="top" wrapText="1"/>
    </xf>
    <xf numFmtId="0" fontId="0" fillId="0" borderId="5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top" wrapText="1"/>
    </xf>
    <xf numFmtId="0" fontId="0" fillId="6" borderId="5" xfId="0" applyFont="1" applyFill="1" applyBorder="1" applyAlignment="1">
      <alignment horizontal="left" vertical="top" wrapText="1"/>
    </xf>
    <xf numFmtId="4" fontId="4" fillId="6" borderId="5" xfId="0" applyNumberFormat="1" applyFont="1" applyFill="1" applyBorder="1" applyAlignment="1">
      <alignment horizontal="right" vertical="top" wrapText="1"/>
    </xf>
    <xf numFmtId="0" fontId="4" fillId="6" borderId="2" xfId="0" applyFont="1" applyFill="1" applyBorder="1" applyAlignment="1">
      <alignment horizontal="left" vertical="top" wrapText="1"/>
    </xf>
    <xf numFmtId="0" fontId="0" fillId="6" borderId="2" xfId="0" applyFont="1" applyFill="1" applyBorder="1" applyAlignment="1">
      <alignment horizontal="left" vertical="top" wrapText="1"/>
    </xf>
    <xf numFmtId="4" fontId="4" fillId="6" borderId="2" xfId="0" applyNumberFormat="1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164" fontId="6" fillId="0" borderId="4" xfId="0" applyNumberFormat="1" applyFont="1" applyBorder="1" applyAlignment="1">
      <alignment horizontal="right" vertical="top" wrapText="1"/>
    </xf>
    <xf numFmtId="0" fontId="4" fillId="5" borderId="5" xfId="0" applyFont="1" applyFill="1" applyBorder="1" applyAlignment="1">
      <alignment horizontal="left" vertical="top" wrapText="1"/>
    </xf>
    <xf numFmtId="0" fontId="0" fillId="5" borderId="5" xfId="0" applyFont="1" applyFill="1" applyBorder="1" applyAlignment="1">
      <alignment horizontal="left" vertical="top" wrapText="1"/>
    </xf>
    <xf numFmtId="4" fontId="4" fillId="5" borderId="5" xfId="0" applyNumberFormat="1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 wrapText="1"/>
    </xf>
    <xf numFmtId="4" fontId="4" fillId="5" borderId="2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top" wrapText="1"/>
    </xf>
    <xf numFmtId="4" fontId="4" fillId="5" borderId="1" xfId="0" applyNumberFormat="1" applyFont="1" applyFill="1" applyBorder="1" applyAlignment="1">
      <alignment horizontal="right" vertical="top" wrapText="1"/>
    </xf>
    <xf numFmtId="0" fontId="4" fillId="4" borderId="5" xfId="0" applyFont="1" applyFill="1" applyBorder="1" applyAlignment="1">
      <alignment horizontal="left" vertical="top" wrapText="1"/>
    </xf>
    <xf numFmtId="0" fontId="0" fillId="4" borderId="5" xfId="0" applyFont="1" applyFill="1" applyBorder="1" applyAlignment="1">
      <alignment horizontal="left" vertical="top" wrapText="1"/>
    </xf>
    <xf numFmtId="4" fontId="4" fillId="4" borderId="5" xfId="0" applyNumberFormat="1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left" vertical="top" wrapText="1"/>
    </xf>
    <xf numFmtId="0" fontId="0" fillId="4" borderId="2" xfId="0" applyFont="1" applyFill="1" applyBorder="1" applyAlignment="1">
      <alignment horizontal="left" vertical="top" wrapText="1"/>
    </xf>
    <xf numFmtId="4" fontId="4" fillId="4" borderId="2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4" fontId="4" fillId="4" borderId="1" xfId="0" applyNumberFormat="1" applyFont="1" applyFill="1" applyBorder="1" applyAlignment="1">
      <alignment horizontal="right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4" fontId="4" fillId="3" borderId="5" xfId="0" applyNumberFormat="1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4" fillId="3" borderId="2" xfId="0" applyFont="1" applyFill="1" applyBorder="1" applyAlignment="1">
      <alignment horizontal="justify" vertical="top" wrapText="1"/>
    </xf>
    <xf numFmtId="0" fontId="4" fillId="4" borderId="0" xfId="0" applyFont="1" applyFill="1" applyAlignment="1">
      <alignment horizontal="justify" vertical="top" wrapText="1"/>
    </xf>
    <xf numFmtId="0" fontId="4" fillId="5" borderId="0" xfId="0" applyFont="1" applyFill="1" applyAlignment="1">
      <alignment horizontal="justify" vertical="top" wrapText="1"/>
    </xf>
    <xf numFmtId="0" fontId="4" fillId="6" borderId="0" xfId="0" applyFont="1" applyFill="1" applyAlignment="1">
      <alignment horizontal="justify" vertical="top" wrapText="1"/>
    </xf>
    <xf numFmtId="0" fontId="4" fillId="7" borderId="0" xfId="0" applyFont="1" applyFill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4" fillId="6" borderId="2" xfId="0" applyFont="1" applyFill="1" applyBorder="1" applyAlignment="1">
      <alignment horizontal="justify" vertical="top" wrapText="1"/>
    </xf>
    <xf numFmtId="0" fontId="4" fillId="5" borderId="2" xfId="0" applyFont="1" applyFill="1" applyBorder="1" applyAlignment="1">
      <alignment horizontal="justify" vertical="top" wrapText="1"/>
    </xf>
    <xf numFmtId="0" fontId="4" fillId="4" borderId="2" xfId="0" applyFont="1" applyFill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4"/>
  <sheetViews>
    <sheetView tabSelected="1" view="pageLayout" topLeftCell="A184" workbookViewId="0"/>
  </sheetViews>
  <sheetFormatPr baseColWidth="10" defaultRowHeight="15" x14ac:dyDescent="0.2"/>
  <cols>
    <col min="1" max="1" width="7.3984375" customWidth="1"/>
    <col min="2" max="2" width="6.59765625" customWidth="1"/>
    <col min="3" max="3" width="3.09765625" customWidth="1"/>
    <col min="4" max="4" width="17.69921875" customWidth="1"/>
    <col min="5" max="5" width="10.296875" customWidth="1"/>
    <col min="6" max="7" width="5.59765625" customWidth="1"/>
    <col min="8" max="8" width="5.69921875" customWidth="1"/>
    <col min="9" max="9" width="4.8984375" customWidth="1"/>
    <col min="10" max="10" width="6.19921875" customWidth="1"/>
    <col min="11" max="11" width="8.19921875" customWidth="1"/>
    <col min="12" max="12" width="8.09765625" customWidth="1"/>
    <col min="13" max="13" width="8.19921875" customWidth="1"/>
  </cols>
  <sheetData>
    <row r="1" spans="1:13" ht="17.850000000000001" customHeight="1" thickBot="1" x14ac:dyDescent="0.25">
      <c r="A1" s="1" t="s">
        <v>0</v>
      </c>
      <c r="B1" s="75" t="s">
        <v>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17.850000000000001" customHeight="1" thickBot="1" x14ac:dyDescent="0.25">
      <c r="A2" s="75" t="s">
        <v>2</v>
      </c>
      <c r="B2" s="75"/>
      <c r="C2" s="75"/>
      <c r="D2" s="2"/>
      <c r="E2" s="2"/>
      <c r="F2" s="2"/>
      <c r="G2" s="2"/>
      <c r="H2" s="2"/>
      <c r="I2" s="2"/>
      <c r="J2" s="2"/>
      <c r="K2" s="2"/>
      <c r="L2" s="4" t="s">
        <v>3</v>
      </c>
      <c r="M2" s="6">
        <v>3</v>
      </c>
    </row>
    <row r="3" spans="1:13" ht="16.7" customHeight="1" thickBot="1" x14ac:dyDescent="0.25">
      <c r="A3" s="7" t="s">
        <v>4</v>
      </c>
      <c r="B3" s="7" t="s">
        <v>5</v>
      </c>
      <c r="C3" s="7" t="s">
        <v>6</v>
      </c>
      <c r="D3" s="7" t="s">
        <v>7</v>
      </c>
      <c r="E3" s="8"/>
      <c r="F3" s="8"/>
      <c r="G3" s="8"/>
      <c r="H3" s="8"/>
      <c r="I3" s="8"/>
      <c r="J3" s="8"/>
      <c r="K3" s="9" t="s">
        <v>8</v>
      </c>
      <c r="L3" s="9" t="s">
        <v>9</v>
      </c>
      <c r="M3" s="9" t="s">
        <v>10</v>
      </c>
    </row>
    <row r="4" spans="1:13" ht="34.700000000000003" customHeight="1" thickBot="1" x14ac:dyDescent="0.25">
      <c r="A4" s="11" t="s">
        <v>11</v>
      </c>
      <c r="B4" s="11" t="s">
        <v>12</v>
      </c>
      <c r="C4" s="12"/>
      <c r="D4" s="76" t="s">
        <v>13</v>
      </c>
      <c r="E4" s="76"/>
      <c r="F4" s="76"/>
      <c r="G4" s="76"/>
      <c r="H4" s="76"/>
      <c r="I4" s="76"/>
      <c r="J4" s="76"/>
      <c r="K4" s="12"/>
      <c r="L4" s="13">
        <f>L214</f>
        <v>266180.65000000002</v>
      </c>
      <c r="M4" s="13">
        <f>ROUND(L4,2)</f>
        <v>266180.65000000002</v>
      </c>
    </row>
    <row r="5" spans="1:13" ht="15.4" customHeight="1" thickBot="1" x14ac:dyDescent="0.25">
      <c r="A5" s="14" t="s">
        <v>14</v>
      </c>
      <c r="B5" s="14" t="s">
        <v>15</v>
      </c>
      <c r="C5" s="15"/>
      <c r="D5" s="77" t="s">
        <v>16</v>
      </c>
      <c r="E5" s="77"/>
      <c r="F5" s="77"/>
      <c r="G5" s="77"/>
      <c r="H5" s="77"/>
      <c r="I5" s="77"/>
      <c r="J5" s="77"/>
      <c r="K5" s="15"/>
      <c r="L5" s="16">
        <f>L195</f>
        <v>205117.43</v>
      </c>
      <c r="M5" s="16">
        <f>ROUND(L5,2)</f>
        <v>205117.43</v>
      </c>
    </row>
    <row r="6" spans="1:13" ht="15.4" customHeight="1" thickBot="1" x14ac:dyDescent="0.25">
      <c r="A6" s="17" t="s">
        <v>17</v>
      </c>
      <c r="B6" s="17" t="s">
        <v>18</v>
      </c>
      <c r="C6" s="18"/>
      <c r="D6" s="78" t="s">
        <v>19</v>
      </c>
      <c r="E6" s="78"/>
      <c r="F6" s="78"/>
      <c r="G6" s="78"/>
      <c r="H6" s="78"/>
      <c r="I6" s="78"/>
      <c r="J6" s="78"/>
      <c r="K6" s="18"/>
      <c r="L6" s="19">
        <f>L52</f>
        <v>71423.649999999994</v>
      </c>
      <c r="M6" s="19">
        <f>ROUND(L6,2)</f>
        <v>71423.649999999994</v>
      </c>
    </row>
    <row r="7" spans="1:13" ht="15.4" customHeight="1" thickBot="1" x14ac:dyDescent="0.25">
      <c r="A7" s="20" t="s">
        <v>20</v>
      </c>
      <c r="B7" s="20" t="s">
        <v>21</v>
      </c>
      <c r="C7" s="21"/>
      <c r="D7" s="79" t="s">
        <v>22</v>
      </c>
      <c r="E7" s="79"/>
      <c r="F7" s="79"/>
      <c r="G7" s="79"/>
      <c r="H7" s="79"/>
      <c r="I7" s="79"/>
      <c r="J7" s="79"/>
      <c r="K7" s="21"/>
      <c r="L7" s="22">
        <f>L28</f>
        <v>36972.36</v>
      </c>
      <c r="M7" s="22">
        <f>ROUND(L7,2)</f>
        <v>36972.36</v>
      </c>
    </row>
    <row r="8" spans="1:13" ht="15.4" customHeight="1" thickBot="1" x14ac:dyDescent="0.25">
      <c r="A8" s="23" t="s">
        <v>23</v>
      </c>
      <c r="B8" s="23" t="s">
        <v>24</v>
      </c>
      <c r="C8" s="24"/>
      <c r="D8" s="80" t="s">
        <v>25</v>
      </c>
      <c r="E8" s="80"/>
      <c r="F8" s="80"/>
      <c r="G8" s="80"/>
      <c r="H8" s="80"/>
      <c r="I8" s="80"/>
      <c r="J8" s="80"/>
      <c r="K8" s="24"/>
      <c r="L8" s="25">
        <f>L27</f>
        <v>36972.36</v>
      </c>
      <c r="M8" s="25">
        <f>ROUND(L8,2)</f>
        <v>36972.36</v>
      </c>
    </row>
    <row r="9" spans="1:13" ht="15.4" customHeight="1" thickBot="1" x14ac:dyDescent="0.25">
      <c r="A9" s="10" t="s">
        <v>26</v>
      </c>
      <c r="B9" s="5" t="s">
        <v>27</v>
      </c>
      <c r="C9" s="5" t="s">
        <v>28</v>
      </c>
      <c r="D9" s="81" t="s">
        <v>29</v>
      </c>
      <c r="E9" s="81"/>
      <c r="F9" s="81"/>
      <c r="G9" s="81"/>
      <c r="H9" s="81"/>
      <c r="I9" s="81"/>
      <c r="J9" s="81"/>
      <c r="K9" s="26">
        <f>SUM(K12:K17)</f>
        <v>6</v>
      </c>
      <c r="L9" s="27">
        <f>ROUND(5017.56*(1+M2/100),2)</f>
        <v>5168.09</v>
      </c>
      <c r="M9" s="27">
        <f>ROUND(K9*L9,2)</f>
        <v>31008.54</v>
      </c>
    </row>
    <row r="10" spans="1:13" ht="30.6" customHeight="1" thickBot="1" x14ac:dyDescent="0.25">
      <c r="A10" s="28"/>
      <c r="B10" s="28"/>
      <c r="C10" s="28"/>
      <c r="D10" s="81" t="s">
        <v>30</v>
      </c>
      <c r="E10" s="81"/>
      <c r="F10" s="81"/>
      <c r="G10" s="81"/>
      <c r="H10" s="81"/>
      <c r="I10" s="81"/>
      <c r="J10" s="81"/>
      <c r="K10" s="81"/>
      <c r="L10" s="81"/>
      <c r="M10" s="81"/>
    </row>
    <row r="11" spans="1:13" ht="15.2" customHeight="1" thickBot="1" x14ac:dyDescent="0.25">
      <c r="A11" s="28"/>
      <c r="B11" s="28"/>
      <c r="C11" s="28"/>
      <c r="D11" s="28"/>
      <c r="E11" s="29"/>
      <c r="F11" s="30" t="s">
        <v>31</v>
      </c>
      <c r="G11" s="30" t="s">
        <v>32</v>
      </c>
      <c r="H11" s="30" t="s">
        <v>33</v>
      </c>
      <c r="I11" s="30" t="s">
        <v>34</v>
      </c>
      <c r="J11" s="30" t="s">
        <v>35</v>
      </c>
      <c r="K11" s="30" t="s">
        <v>36</v>
      </c>
      <c r="L11" s="28"/>
      <c r="M11" s="28"/>
    </row>
    <row r="12" spans="1:13" ht="15.2" customHeight="1" thickBot="1" x14ac:dyDescent="0.25">
      <c r="A12" s="28"/>
      <c r="B12" s="28"/>
      <c r="C12" s="28"/>
      <c r="D12" s="31"/>
      <c r="E12" s="32" t="s">
        <v>37</v>
      </c>
      <c r="F12" s="33">
        <v>1</v>
      </c>
      <c r="G12" s="34"/>
      <c r="H12" s="34"/>
      <c r="I12" s="34"/>
      <c r="J12" s="36">
        <f t="shared" ref="J12:J17" si="0">ROUND(F12,3)</f>
        <v>1</v>
      </c>
      <c r="K12" s="37"/>
      <c r="L12" s="28"/>
      <c r="M12" s="28"/>
    </row>
    <row r="13" spans="1:13" ht="15.2" customHeight="1" thickBot="1" x14ac:dyDescent="0.25">
      <c r="A13" s="28"/>
      <c r="B13" s="28"/>
      <c r="C13" s="28"/>
      <c r="D13" s="31"/>
      <c r="E13" s="5" t="s">
        <v>38</v>
      </c>
      <c r="F13" s="3">
        <v>1</v>
      </c>
      <c r="G13" s="26"/>
      <c r="H13" s="26"/>
      <c r="I13" s="26"/>
      <c r="J13" s="35">
        <f t="shared" si="0"/>
        <v>1</v>
      </c>
      <c r="K13" s="28"/>
      <c r="L13" s="28"/>
      <c r="M13" s="28"/>
    </row>
    <row r="14" spans="1:13" ht="15.2" customHeight="1" thickBot="1" x14ac:dyDescent="0.25">
      <c r="A14" s="28"/>
      <c r="B14" s="28"/>
      <c r="C14" s="28"/>
      <c r="D14" s="31"/>
      <c r="E14" s="5" t="s">
        <v>39</v>
      </c>
      <c r="F14" s="3">
        <v>1</v>
      </c>
      <c r="G14" s="26"/>
      <c r="H14" s="26"/>
      <c r="I14" s="26"/>
      <c r="J14" s="35">
        <f t="shared" si="0"/>
        <v>1</v>
      </c>
      <c r="K14" s="28"/>
      <c r="L14" s="28"/>
      <c r="M14" s="28"/>
    </row>
    <row r="15" spans="1:13" ht="15.2" customHeight="1" thickBot="1" x14ac:dyDescent="0.25">
      <c r="A15" s="28"/>
      <c r="B15" s="28"/>
      <c r="C15" s="28"/>
      <c r="D15" s="31"/>
      <c r="E15" s="5" t="s">
        <v>40</v>
      </c>
      <c r="F15" s="3">
        <v>1</v>
      </c>
      <c r="G15" s="26"/>
      <c r="H15" s="26"/>
      <c r="I15" s="26"/>
      <c r="J15" s="35">
        <f t="shared" si="0"/>
        <v>1</v>
      </c>
      <c r="K15" s="28"/>
      <c r="L15" s="28"/>
      <c r="M15" s="28"/>
    </row>
    <row r="16" spans="1:13" ht="15.2" customHeight="1" thickBot="1" x14ac:dyDescent="0.25">
      <c r="A16" s="28"/>
      <c r="B16" s="28"/>
      <c r="C16" s="28"/>
      <c r="D16" s="31"/>
      <c r="E16" s="5" t="s">
        <v>41</v>
      </c>
      <c r="F16" s="3">
        <v>1</v>
      </c>
      <c r="G16" s="26"/>
      <c r="H16" s="26"/>
      <c r="I16" s="26"/>
      <c r="J16" s="35">
        <f t="shared" si="0"/>
        <v>1</v>
      </c>
      <c r="K16" s="28"/>
      <c r="L16" s="28"/>
      <c r="M16" s="28"/>
    </row>
    <row r="17" spans="1:13" ht="15.2" customHeight="1" thickBot="1" x14ac:dyDescent="0.25">
      <c r="A17" s="28"/>
      <c r="B17" s="28"/>
      <c r="C17" s="28"/>
      <c r="D17" s="31"/>
      <c r="E17" s="5" t="s">
        <v>42</v>
      </c>
      <c r="F17" s="3">
        <v>1</v>
      </c>
      <c r="G17" s="26"/>
      <c r="H17" s="26"/>
      <c r="I17" s="26"/>
      <c r="J17" s="35">
        <f t="shared" si="0"/>
        <v>1</v>
      </c>
      <c r="K17" s="38">
        <f>SUM(J12:J17)</f>
        <v>6</v>
      </c>
      <c r="L17" s="28"/>
      <c r="M17" s="28"/>
    </row>
    <row r="18" spans="1:13" ht="15.4" customHeight="1" thickBot="1" x14ac:dyDescent="0.25">
      <c r="A18" s="10" t="s">
        <v>43</v>
      </c>
      <c r="B18" s="5" t="s">
        <v>44</v>
      </c>
      <c r="C18" s="5" t="s">
        <v>45</v>
      </c>
      <c r="D18" s="81" t="s">
        <v>46</v>
      </c>
      <c r="E18" s="81"/>
      <c r="F18" s="81"/>
      <c r="G18" s="81"/>
      <c r="H18" s="81"/>
      <c r="I18" s="81"/>
      <c r="J18" s="81"/>
      <c r="K18" s="26">
        <f>SUM(K21:K26)</f>
        <v>6</v>
      </c>
      <c r="L18" s="27">
        <f>ROUND(965.024*(1+M2/100),2)</f>
        <v>993.97</v>
      </c>
      <c r="M18" s="27">
        <f>ROUND(K18*L18,2)</f>
        <v>5963.82</v>
      </c>
    </row>
    <row r="19" spans="1:13" ht="21.4" customHeight="1" thickBot="1" x14ac:dyDescent="0.25">
      <c r="A19" s="28"/>
      <c r="B19" s="28"/>
      <c r="C19" s="28"/>
      <c r="D19" s="81" t="s">
        <v>47</v>
      </c>
      <c r="E19" s="81"/>
      <c r="F19" s="81"/>
      <c r="G19" s="81"/>
      <c r="H19" s="81"/>
      <c r="I19" s="81"/>
      <c r="J19" s="81"/>
      <c r="K19" s="81"/>
      <c r="L19" s="81"/>
      <c r="M19" s="81"/>
    </row>
    <row r="20" spans="1:13" ht="15.2" customHeight="1" thickBot="1" x14ac:dyDescent="0.25">
      <c r="A20" s="28"/>
      <c r="B20" s="28"/>
      <c r="C20" s="28"/>
      <c r="D20" s="28"/>
      <c r="E20" s="29" t="s">
        <v>48</v>
      </c>
      <c r="F20" s="30" t="s">
        <v>49</v>
      </c>
      <c r="G20" s="30" t="s">
        <v>50</v>
      </c>
      <c r="H20" s="30" t="s">
        <v>51</v>
      </c>
      <c r="I20" s="30" t="s">
        <v>52</v>
      </c>
      <c r="J20" s="30" t="s">
        <v>53</v>
      </c>
      <c r="K20" s="30" t="s">
        <v>54</v>
      </c>
      <c r="L20" s="28"/>
      <c r="M20" s="28"/>
    </row>
    <row r="21" spans="1:13" ht="15.2" customHeight="1" thickBot="1" x14ac:dyDescent="0.25">
      <c r="A21" s="28"/>
      <c r="B21" s="28"/>
      <c r="C21" s="28"/>
      <c r="D21" s="31"/>
      <c r="E21" s="32" t="s">
        <v>55</v>
      </c>
      <c r="F21" s="33">
        <v>1</v>
      </c>
      <c r="G21" s="34"/>
      <c r="H21" s="34"/>
      <c r="I21" s="34"/>
      <c r="J21" s="36">
        <f t="shared" ref="J21:J26" si="1">ROUND(F21,3)</f>
        <v>1</v>
      </c>
      <c r="K21" s="37"/>
      <c r="L21" s="28"/>
      <c r="M21" s="28"/>
    </row>
    <row r="22" spans="1:13" ht="15.2" customHeight="1" thickBot="1" x14ac:dyDescent="0.25">
      <c r="A22" s="28"/>
      <c r="B22" s="28"/>
      <c r="C22" s="28"/>
      <c r="D22" s="31"/>
      <c r="E22" s="5" t="s">
        <v>56</v>
      </c>
      <c r="F22" s="3">
        <v>1</v>
      </c>
      <c r="G22" s="26"/>
      <c r="H22" s="26"/>
      <c r="I22" s="26"/>
      <c r="J22" s="35">
        <f t="shared" si="1"/>
        <v>1</v>
      </c>
      <c r="K22" s="28"/>
      <c r="L22" s="28"/>
      <c r="M22" s="28"/>
    </row>
    <row r="23" spans="1:13" ht="15.2" customHeight="1" thickBot="1" x14ac:dyDescent="0.25">
      <c r="A23" s="28"/>
      <c r="B23" s="28"/>
      <c r="C23" s="28"/>
      <c r="D23" s="31"/>
      <c r="E23" s="5" t="s">
        <v>57</v>
      </c>
      <c r="F23" s="3">
        <v>1</v>
      </c>
      <c r="G23" s="26"/>
      <c r="H23" s="26"/>
      <c r="I23" s="26"/>
      <c r="J23" s="35">
        <f t="shared" si="1"/>
        <v>1</v>
      </c>
      <c r="K23" s="28"/>
      <c r="L23" s="28"/>
      <c r="M23" s="28"/>
    </row>
    <row r="24" spans="1:13" ht="15.2" customHeight="1" thickBot="1" x14ac:dyDescent="0.25">
      <c r="A24" s="28"/>
      <c r="B24" s="28"/>
      <c r="C24" s="28"/>
      <c r="D24" s="31"/>
      <c r="E24" s="5" t="s">
        <v>58</v>
      </c>
      <c r="F24" s="3">
        <v>1</v>
      </c>
      <c r="G24" s="26"/>
      <c r="H24" s="26"/>
      <c r="I24" s="26"/>
      <c r="J24" s="35">
        <f t="shared" si="1"/>
        <v>1</v>
      </c>
      <c r="K24" s="28"/>
      <c r="L24" s="28"/>
      <c r="M24" s="28"/>
    </row>
    <row r="25" spans="1:13" ht="15.2" customHeight="1" thickBot="1" x14ac:dyDescent="0.25">
      <c r="A25" s="28"/>
      <c r="B25" s="28"/>
      <c r="C25" s="28"/>
      <c r="D25" s="31"/>
      <c r="E25" s="5" t="s">
        <v>59</v>
      </c>
      <c r="F25" s="3">
        <v>1</v>
      </c>
      <c r="G25" s="26"/>
      <c r="H25" s="26"/>
      <c r="I25" s="26"/>
      <c r="J25" s="35">
        <f t="shared" si="1"/>
        <v>1</v>
      </c>
      <c r="K25" s="28"/>
      <c r="L25" s="28"/>
      <c r="M25" s="28"/>
    </row>
    <row r="26" spans="1:13" ht="15.2" customHeight="1" thickBot="1" x14ac:dyDescent="0.25">
      <c r="A26" s="28"/>
      <c r="B26" s="28"/>
      <c r="C26" s="28"/>
      <c r="D26" s="31"/>
      <c r="E26" s="5" t="s">
        <v>60</v>
      </c>
      <c r="F26" s="3">
        <v>1</v>
      </c>
      <c r="G26" s="26"/>
      <c r="H26" s="26"/>
      <c r="I26" s="26"/>
      <c r="J26" s="35">
        <f t="shared" si="1"/>
        <v>1</v>
      </c>
      <c r="K26" s="38">
        <f>SUM(J21:J26)</f>
        <v>6</v>
      </c>
      <c r="L26" s="28"/>
      <c r="M26" s="28"/>
    </row>
    <row r="27" spans="1:13" ht="15.4" customHeight="1" thickBot="1" x14ac:dyDescent="0.25">
      <c r="A27" s="39"/>
      <c r="B27" s="39"/>
      <c r="C27" s="39"/>
      <c r="D27" s="40" t="s">
        <v>61</v>
      </c>
      <c r="E27" s="41"/>
      <c r="F27" s="41"/>
      <c r="G27" s="41"/>
      <c r="H27" s="41"/>
      <c r="I27" s="41"/>
      <c r="J27" s="41"/>
      <c r="K27" s="41"/>
      <c r="L27" s="42">
        <f>M9+M18</f>
        <v>36972.36</v>
      </c>
      <c r="M27" s="42">
        <f>ROUND(L27,2)</f>
        <v>36972.36</v>
      </c>
    </row>
    <row r="28" spans="1:13" ht="15.4" customHeight="1" thickBot="1" x14ac:dyDescent="0.25">
      <c r="A28" s="43"/>
      <c r="B28" s="43"/>
      <c r="C28" s="43"/>
      <c r="D28" s="44" t="s">
        <v>62</v>
      </c>
      <c r="E28" s="45"/>
      <c r="F28" s="45"/>
      <c r="G28" s="45"/>
      <c r="H28" s="45"/>
      <c r="I28" s="45"/>
      <c r="J28" s="45"/>
      <c r="K28" s="45"/>
      <c r="L28" s="46">
        <f>M27</f>
        <v>36972.36</v>
      </c>
      <c r="M28" s="46">
        <f>ROUND(L28,2)</f>
        <v>36972.36</v>
      </c>
    </row>
    <row r="29" spans="1:13" ht="15.4" customHeight="1" thickBot="1" x14ac:dyDescent="0.25">
      <c r="A29" s="47" t="s">
        <v>63</v>
      </c>
      <c r="B29" s="47" t="s">
        <v>64</v>
      </c>
      <c r="C29" s="48"/>
      <c r="D29" s="82" t="s">
        <v>65</v>
      </c>
      <c r="E29" s="82"/>
      <c r="F29" s="82"/>
      <c r="G29" s="82"/>
      <c r="H29" s="82"/>
      <c r="I29" s="82"/>
      <c r="J29" s="82"/>
      <c r="K29" s="48"/>
      <c r="L29" s="49">
        <f>L43</f>
        <v>30501.850000000002</v>
      </c>
      <c r="M29" s="49">
        <f>ROUND(L29,2)</f>
        <v>30501.85</v>
      </c>
    </row>
    <row r="30" spans="1:13" ht="15.4" customHeight="1" thickBot="1" x14ac:dyDescent="0.25">
      <c r="A30" s="10" t="s">
        <v>66</v>
      </c>
      <c r="B30" s="5" t="s">
        <v>67</v>
      </c>
      <c r="C30" s="5" t="s">
        <v>68</v>
      </c>
      <c r="D30" s="81" t="s">
        <v>69</v>
      </c>
      <c r="E30" s="81"/>
      <c r="F30" s="81"/>
      <c r="G30" s="81"/>
      <c r="H30" s="81"/>
      <c r="I30" s="81"/>
      <c r="J30" s="81"/>
      <c r="K30" s="26">
        <f>SUM(K33:K34)</f>
        <v>6</v>
      </c>
      <c r="L30" s="27">
        <f>ROUND(180.564*(1+M2/100),2)</f>
        <v>185.98</v>
      </c>
      <c r="M30" s="27">
        <f>ROUND(K30*L30,2)</f>
        <v>1115.8800000000001</v>
      </c>
    </row>
    <row r="31" spans="1:13" ht="67.5" customHeight="1" thickBot="1" x14ac:dyDescent="0.25">
      <c r="A31" s="28"/>
      <c r="B31" s="28"/>
      <c r="C31" s="28"/>
      <c r="D31" s="81" t="s">
        <v>70</v>
      </c>
      <c r="E31" s="81"/>
      <c r="F31" s="81"/>
      <c r="G31" s="81"/>
      <c r="H31" s="81"/>
      <c r="I31" s="81"/>
      <c r="J31" s="81"/>
      <c r="K31" s="81"/>
      <c r="L31" s="81"/>
      <c r="M31" s="81"/>
    </row>
    <row r="32" spans="1:13" ht="15.2" customHeight="1" thickBot="1" x14ac:dyDescent="0.25">
      <c r="A32" s="28"/>
      <c r="B32" s="28"/>
      <c r="C32" s="28"/>
      <c r="D32" s="28"/>
      <c r="E32" s="29"/>
      <c r="F32" s="30" t="s">
        <v>71</v>
      </c>
      <c r="G32" s="30" t="s">
        <v>72</v>
      </c>
      <c r="H32" s="30" t="s">
        <v>73</v>
      </c>
      <c r="I32" s="30" t="s">
        <v>74</v>
      </c>
      <c r="J32" s="30" t="s">
        <v>75</v>
      </c>
      <c r="K32" s="30" t="s">
        <v>76</v>
      </c>
      <c r="L32" s="28"/>
      <c r="M32" s="28"/>
    </row>
    <row r="33" spans="1:13" ht="15.2" customHeight="1" thickBot="1" x14ac:dyDescent="0.25">
      <c r="A33" s="28"/>
      <c r="B33" s="28"/>
      <c r="C33" s="28"/>
      <c r="D33" s="31"/>
      <c r="E33" s="32" t="s">
        <v>77</v>
      </c>
      <c r="F33" s="33">
        <v>2</v>
      </c>
      <c r="G33" s="34"/>
      <c r="H33" s="34"/>
      <c r="I33" s="34"/>
      <c r="J33" s="36">
        <f>ROUND(F33,3)</f>
        <v>2</v>
      </c>
      <c r="K33" s="37"/>
      <c r="L33" s="28"/>
      <c r="M33" s="28"/>
    </row>
    <row r="34" spans="1:13" ht="15.2" customHeight="1" thickBot="1" x14ac:dyDescent="0.25">
      <c r="A34" s="28"/>
      <c r="B34" s="28"/>
      <c r="C34" s="28"/>
      <c r="D34" s="31"/>
      <c r="E34" s="5" t="s">
        <v>78</v>
      </c>
      <c r="F34" s="3">
        <v>4</v>
      </c>
      <c r="G34" s="26"/>
      <c r="H34" s="26"/>
      <c r="I34" s="26"/>
      <c r="J34" s="35">
        <f>ROUND(F34,3)</f>
        <v>4</v>
      </c>
      <c r="K34" s="38">
        <f>SUM(J33:J34)</f>
        <v>6</v>
      </c>
      <c r="L34" s="28"/>
      <c r="M34" s="28"/>
    </row>
    <row r="35" spans="1:13" ht="15.4" customHeight="1" thickBot="1" x14ac:dyDescent="0.25">
      <c r="A35" s="10" t="s">
        <v>79</v>
      </c>
      <c r="B35" s="5" t="s">
        <v>80</v>
      </c>
      <c r="C35" s="5" t="s">
        <v>81</v>
      </c>
      <c r="D35" s="81" t="s">
        <v>82</v>
      </c>
      <c r="E35" s="81"/>
      <c r="F35" s="81"/>
      <c r="G35" s="81"/>
      <c r="H35" s="81"/>
      <c r="I35" s="81"/>
      <c r="J35" s="81"/>
      <c r="K35" s="26">
        <f>SUM(K38:K42)</f>
        <v>211</v>
      </c>
      <c r="L35" s="27">
        <f>ROUND(135.21*(1+M2/100),2)</f>
        <v>139.27000000000001</v>
      </c>
      <c r="M35" s="27">
        <f>ROUND(K35*L35,2)</f>
        <v>29385.97</v>
      </c>
    </row>
    <row r="36" spans="1:13" ht="76.900000000000006" customHeight="1" thickBot="1" x14ac:dyDescent="0.25">
      <c r="A36" s="28"/>
      <c r="B36" s="28"/>
      <c r="C36" s="28"/>
      <c r="D36" s="81" t="s">
        <v>83</v>
      </c>
      <c r="E36" s="81"/>
      <c r="F36" s="81"/>
      <c r="G36" s="81"/>
      <c r="H36" s="81"/>
      <c r="I36" s="81"/>
      <c r="J36" s="81"/>
      <c r="K36" s="81"/>
      <c r="L36" s="81"/>
      <c r="M36" s="81"/>
    </row>
    <row r="37" spans="1:13" ht="15.2" customHeight="1" thickBot="1" x14ac:dyDescent="0.25">
      <c r="A37" s="28"/>
      <c r="B37" s="28"/>
      <c r="C37" s="28"/>
      <c r="D37" s="28"/>
      <c r="E37" s="29"/>
      <c r="F37" s="30" t="s">
        <v>84</v>
      </c>
      <c r="G37" s="30" t="s">
        <v>85</v>
      </c>
      <c r="H37" s="30" t="s">
        <v>86</v>
      </c>
      <c r="I37" s="30" t="s">
        <v>87</v>
      </c>
      <c r="J37" s="30" t="s">
        <v>88</v>
      </c>
      <c r="K37" s="30" t="s">
        <v>89</v>
      </c>
      <c r="L37" s="28"/>
      <c r="M37" s="28"/>
    </row>
    <row r="38" spans="1:13" ht="15.2" customHeight="1" thickBot="1" x14ac:dyDescent="0.25">
      <c r="A38" s="28"/>
      <c r="B38" s="28"/>
      <c r="C38" s="28"/>
      <c r="D38" s="31"/>
      <c r="E38" s="32" t="s">
        <v>90</v>
      </c>
      <c r="F38" s="33">
        <v>33</v>
      </c>
      <c r="G38" s="34"/>
      <c r="H38" s="34"/>
      <c r="I38" s="34"/>
      <c r="J38" s="36">
        <f>ROUND(F38,3)</f>
        <v>33</v>
      </c>
      <c r="K38" s="37"/>
      <c r="L38" s="28"/>
      <c r="M38" s="28"/>
    </row>
    <row r="39" spans="1:13" ht="15.2" customHeight="1" thickBot="1" x14ac:dyDescent="0.25">
      <c r="A39" s="28"/>
      <c r="B39" s="28"/>
      <c r="C39" s="28"/>
      <c r="D39" s="31"/>
      <c r="E39" s="5" t="s">
        <v>91</v>
      </c>
      <c r="F39" s="3">
        <v>36</v>
      </c>
      <c r="G39" s="26"/>
      <c r="H39" s="26"/>
      <c r="I39" s="26"/>
      <c r="J39" s="35">
        <f>ROUND(F39,3)</f>
        <v>36</v>
      </c>
      <c r="K39" s="28"/>
      <c r="L39" s="28"/>
      <c r="M39" s="28"/>
    </row>
    <row r="40" spans="1:13" ht="15.2" customHeight="1" thickBot="1" x14ac:dyDescent="0.25">
      <c r="A40" s="28"/>
      <c r="B40" s="28"/>
      <c r="C40" s="28"/>
      <c r="D40" s="31"/>
      <c r="E40" s="5" t="s">
        <v>92</v>
      </c>
      <c r="F40" s="3">
        <v>51</v>
      </c>
      <c r="G40" s="26"/>
      <c r="H40" s="26"/>
      <c r="I40" s="26"/>
      <c r="J40" s="35">
        <f>ROUND(F40,3)</f>
        <v>51</v>
      </c>
      <c r="K40" s="28"/>
      <c r="L40" s="28"/>
      <c r="M40" s="28"/>
    </row>
    <row r="41" spans="1:13" ht="15.2" customHeight="1" thickBot="1" x14ac:dyDescent="0.25">
      <c r="A41" s="28"/>
      <c r="B41" s="28"/>
      <c r="C41" s="28"/>
      <c r="D41" s="31"/>
      <c r="E41" s="5" t="s">
        <v>93</v>
      </c>
      <c r="F41" s="3">
        <v>44</v>
      </c>
      <c r="G41" s="26"/>
      <c r="H41" s="26"/>
      <c r="I41" s="26"/>
      <c r="J41" s="35">
        <f>ROUND(F41,3)</f>
        <v>44</v>
      </c>
      <c r="K41" s="28"/>
      <c r="L41" s="28"/>
      <c r="M41" s="28"/>
    </row>
    <row r="42" spans="1:13" ht="15.2" customHeight="1" thickBot="1" x14ac:dyDescent="0.25">
      <c r="A42" s="28"/>
      <c r="B42" s="28"/>
      <c r="C42" s="28"/>
      <c r="D42" s="31"/>
      <c r="E42" s="5" t="s">
        <v>94</v>
      </c>
      <c r="F42" s="3">
        <v>47</v>
      </c>
      <c r="G42" s="26"/>
      <c r="H42" s="26"/>
      <c r="I42" s="26"/>
      <c r="J42" s="35">
        <f>ROUND(F42,3)</f>
        <v>47</v>
      </c>
      <c r="K42" s="38">
        <f>SUM(J38:J42)</f>
        <v>211</v>
      </c>
      <c r="L42" s="28"/>
      <c r="M42" s="28"/>
    </row>
    <row r="43" spans="1:13" ht="15.4" customHeight="1" thickBot="1" x14ac:dyDescent="0.25">
      <c r="A43" s="39"/>
      <c r="B43" s="39"/>
      <c r="C43" s="39"/>
      <c r="D43" s="50" t="s">
        <v>95</v>
      </c>
      <c r="E43" s="51"/>
      <c r="F43" s="51"/>
      <c r="G43" s="51"/>
      <c r="H43" s="51"/>
      <c r="I43" s="51"/>
      <c r="J43" s="51"/>
      <c r="K43" s="51"/>
      <c r="L43" s="52">
        <f>M30+M35</f>
        <v>30501.850000000002</v>
      </c>
      <c r="M43" s="52">
        <f>ROUND(L43,2)</f>
        <v>30501.85</v>
      </c>
    </row>
    <row r="44" spans="1:13" ht="15.4" customHeight="1" thickBot="1" x14ac:dyDescent="0.25">
      <c r="A44" s="47" t="s">
        <v>96</v>
      </c>
      <c r="B44" s="47" t="s">
        <v>97</v>
      </c>
      <c r="C44" s="48"/>
      <c r="D44" s="82" t="s">
        <v>98</v>
      </c>
      <c r="E44" s="82"/>
      <c r="F44" s="82"/>
      <c r="G44" s="82"/>
      <c r="H44" s="82"/>
      <c r="I44" s="82"/>
      <c r="J44" s="82"/>
      <c r="K44" s="48"/>
      <c r="L44" s="49">
        <f>L51</f>
        <v>3949.4399999999996</v>
      </c>
      <c r="M44" s="49">
        <f>ROUND(L44,2)</f>
        <v>3949.44</v>
      </c>
    </row>
    <row r="45" spans="1:13" ht="15.4" customHeight="1" thickBot="1" x14ac:dyDescent="0.25">
      <c r="A45" s="10" t="s">
        <v>99</v>
      </c>
      <c r="B45" s="5" t="s">
        <v>100</v>
      </c>
      <c r="C45" s="5" t="s">
        <v>101</v>
      </c>
      <c r="D45" s="81" t="s">
        <v>102</v>
      </c>
      <c r="E45" s="81"/>
      <c r="F45" s="81"/>
      <c r="G45" s="81"/>
      <c r="H45" s="81"/>
      <c r="I45" s="81"/>
      <c r="J45" s="81"/>
      <c r="K45" s="26">
        <f>ROUND(10,2)</f>
        <v>10</v>
      </c>
      <c r="L45" s="27">
        <f>ROUND(359.92*(1+M2/100),2)</f>
        <v>370.72</v>
      </c>
      <c r="M45" s="27">
        <f>ROUND(K45*L45,2)</f>
        <v>3707.2</v>
      </c>
    </row>
    <row r="46" spans="1:13" ht="21.4" customHeight="1" thickBot="1" x14ac:dyDescent="0.25">
      <c r="A46" s="28"/>
      <c r="B46" s="28"/>
      <c r="C46" s="28"/>
      <c r="D46" s="81" t="s">
        <v>103</v>
      </c>
      <c r="E46" s="81"/>
      <c r="F46" s="81"/>
      <c r="G46" s="81"/>
      <c r="H46" s="81"/>
      <c r="I46" s="81"/>
      <c r="J46" s="81"/>
      <c r="K46" s="81"/>
      <c r="L46" s="81"/>
      <c r="M46" s="81"/>
    </row>
    <row r="47" spans="1:13" ht="15.4" customHeight="1" thickBot="1" x14ac:dyDescent="0.25">
      <c r="A47" s="10" t="s">
        <v>104</v>
      </c>
      <c r="B47" s="5" t="s">
        <v>105</v>
      </c>
      <c r="C47" s="5" t="s">
        <v>106</v>
      </c>
      <c r="D47" s="81" t="s">
        <v>107</v>
      </c>
      <c r="E47" s="81"/>
      <c r="F47" s="81"/>
      <c r="G47" s="81"/>
      <c r="H47" s="81"/>
      <c r="I47" s="81"/>
      <c r="J47" s="81"/>
      <c r="K47" s="26">
        <f>SUM(K50:K50)</f>
        <v>1</v>
      </c>
      <c r="L47" s="27">
        <f>ROUND(235.18*(1+M2/100),2)</f>
        <v>242.24</v>
      </c>
      <c r="M47" s="27">
        <f>ROUND(K47*L47,2)</f>
        <v>242.24</v>
      </c>
    </row>
    <row r="48" spans="1:13" ht="21.4" customHeight="1" thickBot="1" x14ac:dyDescent="0.25">
      <c r="A48" s="28"/>
      <c r="B48" s="28"/>
      <c r="C48" s="28"/>
      <c r="D48" s="81" t="s">
        <v>108</v>
      </c>
      <c r="E48" s="81"/>
      <c r="F48" s="81"/>
      <c r="G48" s="81"/>
      <c r="H48" s="81"/>
      <c r="I48" s="81"/>
      <c r="J48" s="81"/>
      <c r="K48" s="81"/>
      <c r="L48" s="81"/>
      <c r="M48" s="81"/>
    </row>
    <row r="49" spans="1:13" ht="15.2" customHeight="1" thickBot="1" x14ac:dyDescent="0.25">
      <c r="A49" s="28"/>
      <c r="B49" s="28"/>
      <c r="C49" s="28"/>
      <c r="D49" s="28"/>
      <c r="E49" s="29"/>
      <c r="F49" s="30" t="s">
        <v>109</v>
      </c>
      <c r="G49" s="30" t="s">
        <v>110</v>
      </c>
      <c r="H49" s="30" t="s">
        <v>111</v>
      </c>
      <c r="I49" s="30" t="s">
        <v>112</v>
      </c>
      <c r="J49" s="30" t="s">
        <v>113</v>
      </c>
      <c r="K49" s="30" t="s">
        <v>114</v>
      </c>
      <c r="L49" s="28"/>
      <c r="M49" s="28"/>
    </row>
    <row r="50" spans="1:13" ht="15.2" customHeight="1" thickBot="1" x14ac:dyDescent="0.25">
      <c r="A50" s="28"/>
      <c r="B50" s="28"/>
      <c r="C50" s="28"/>
      <c r="D50" s="31"/>
      <c r="E50" s="32" t="s">
        <v>115</v>
      </c>
      <c r="F50" s="33">
        <v>1</v>
      </c>
      <c r="G50" s="34"/>
      <c r="H50" s="34"/>
      <c r="I50" s="34"/>
      <c r="J50" s="36">
        <f>ROUND(F50,3)</f>
        <v>1</v>
      </c>
      <c r="K50" s="53">
        <f>SUM(J50:J50)</f>
        <v>1</v>
      </c>
      <c r="L50" s="28"/>
      <c r="M50" s="28"/>
    </row>
    <row r="51" spans="1:13" ht="15.4" customHeight="1" thickBot="1" x14ac:dyDescent="0.25">
      <c r="A51" s="39"/>
      <c r="B51" s="39"/>
      <c r="C51" s="39"/>
      <c r="D51" s="50" t="s">
        <v>116</v>
      </c>
      <c r="E51" s="51"/>
      <c r="F51" s="51"/>
      <c r="G51" s="51"/>
      <c r="H51" s="51"/>
      <c r="I51" s="51"/>
      <c r="J51" s="51"/>
      <c r="K51" s="51"/>
      <c r="L51" s="52">
        <f>M45+M47</f>
        <v>3949.4399999999996</v>
      </c>
      <c r="M51" s="52">
        <f>ROUND(L51,2)</f>
        <v>3949.44</v>
      </c>
    </row>
    <row r="52" spans="1:13" ht="15.4" customHeight="1" thickBot="1" x14ac:dyDescent="0.25">
      <c r="A52" s="43"/>
      <c r="B52" s="43"/>
      <c r="C52" s="43"/>
      <c r="D52" s="54" t="s">
        <v>117</v>
      </c>
      <c r="E52" s="55"/>
      <c r="F52" s="55"/>
      <c r="G52" s="55"/>
      <c r="H52" s="55"/>
      <c r="I52" s="55"/>
      <c r="J52" s="55"/>
      <c r="K52" s="55"/>
      <c r="L52" s="56">
        <f>M28+M43+M51</f>
        <v>71423.649999999994</v>
      </c>
      <c r="M52" s="56">
        <f>ROUND(L52,2)</f>
        <v>71423.649999999994</v>
      </c>
    </row>
    <row r="53" spans="1:13" ht="15.4" customHeight="1" thickBot="1" x14ac:dyDescent="0.25">
      <c r="A53" s="57" t="s">
        <v>118</v>
      </c>
      <c r="B53" s="57" t="s">
        <v>119</v>
      </c>
      <c r="C53" s="58"/>
      <c r="D53" s="83" t="s">
        <v>120</v>
      </c>
      <c r="E53" s="83"/>
      <c r="F53" s="83"/>
      <c r="G53" s="83"/>
      <c r="H53" s="83"/>
      <c r="I53" s="83"/>
      <c r="J53" s="83"/>
      <c r="K53" s="58"/>
      <c r="L53" s="59">
        <f>L145</f>
        <v>110426.03</v>
      </c>
      <c r="M53" s="59">
        <f>ROUND(L53,2)</f>
        <v>110426.03</v>
      </c>
    </row>
    <row r="54" spans="1:13" ht="15.4" customHeight="1" thickBot="1" x14ac:dyDescent="0.25">
      <c r="A54" s="10" t="s">
        <v>121</v>
      </c>
      <c r="B54" s="5" t="s">
        <v>122</v>
      </c>
      <c r="C54" s="5" t="s">
        <v>123</v>
      </c>
      <c r="D54" s="81" t="s">
        <v>124</v>
      </c>
      <c r="E54" s="81"/>
      <c r="F54" s="81"/>
      <c r="G54" s="81"/>
      <c r="H54" s="81"/>
      <c r="I54" s="81"/>
      <c r="J54" s="81"/>
      <c r="K54" s="26">
        <f>SUM(K57:K57)</f>
        <v>1</v>
      </c>
      <c r="L54" s="27">
        <f>ROUND(64.88*(1+M2/100),2)</f>
        <v>66.83</v>
      </c>
      <c r="M54" s="27">
        <f>ROUND(K54*L54,2)</f>
        <v>66.83</v>
      </c>
    </row>
    <row r="55" spans="1:13" ht="21.4" customHeight="1" thickBot="1" x14ac:dyDescent="0.25">
      <c r="A55" s="28"/>
      <c r="B55" s="28"/>
      <c r="C55" s="28"/>
      <c r="D55" s="81" t="s">
        <v>125</v>
      </c>
      <c r="E55" s="81"/>
      <c r="F55" s="81"/>
      <c r="G55" s="81"/>
      <c r="H55" s="81"/>
      <c r="I55" s="81"/>
      <c r="J55" s="81"/>
      <c r="K55" s="81"/>
      <c r="L55" s="81"/>
      <c r="M55" s="81"/>
    </row>
    <row r="56" spans="1:13" ht="15.2" customHeight="1" thickBot="1" x14ac:dyDescent="0.25">
      <c r="A56" s="28"/>
      <c r="B56" s="28"/>
      <c r="C56" s="28"/>
      <c r="D56" s="28"/>
      <c r="E56" s="29"/>
      <c r="F56" s="30" t="s">
        <v>126</v>
      </c>
      <c r="G56" s="30" t="s">
        <v>127</v>
      </c>
      <c r="H56" s="30" t="s">
        <v>128</v>
      </c>
      <c r="I56" s="30" t="s">
        <v>129</v>
      </c>
      <c r="J56" s="30" t="s">
        <v>130</v>
      </c>
      <c r="K56" s="30" t="s">
        <v>131</v>
      </c>
      <c r="L56" s="28"/>
      <c r="M56" s="28"/>
    </row>
    <row r="57" spans="1:13" ht="49.15" customHeight="1" thickBot="1" x14ac:dyDescent="0.25">
      <c r="A57" s="28"/>
      <c r="B57" s="28"/>
      <c r="C57" s="28"/>
      <c r="D57" s="31"/>
      <c r="E57" s="32" t="s">
        <v>132</v>
      </c>
      <c r="F57" s="33">
        <v>1</v>
      </c>
      <c r="G57" s="34"/>
      <c r="H57" s="34"/>
      <c r="I57" s="34"/>
      <c r="J57" s="36">
        <f>ROUND(F57,3)</f>
        <v>1</v>
      </c>
      <c r="K57" s="53">
        <f>SUM(J57:J57)</f>
        <v>1</v>
      </c>
      <c r="L57" s="28"/>
      <c r="M57" s="28"/>
    </row>
    <row r="58" spans="1:13" ht="15.4" customHeight="1" thickBot="1" x14ac:dyDescent="0.25">
      <c r="A58" s="10" t="s">
        <v>133</v>
      </c>
      <c r="B58" s="5" t="s">
        <v>134</v>
      </c>
      <c r="C58" s="5" t="s">
        <v>135</v>
      </c>
      <c r="D58" s="81" t="s">
        <v>136</v>
      </c>
      <c r="E58" s="81"/>
      <c r="F58" s="81"/>
      <c r="G58" s="81"/>
      <c r="H58" s="81"/>
      <c r="I58" s="81"/>
      <c r="J58" s="81"/>
      <c r="K58" s="26">
        <f>SUM(K61:K68)</f>
        <v>217</v>
      </c>
      <c r="L58" s="27">
        <f>ROUND(56.94*(1+M2/100),2)</f>
        <v>58.65</v>
      </c>
      <c r="M58" s="27">
        <f>ROUND(K58*L58,2)</f>
        <v>12727.05</v>
      </c>
    </row>
    <row r="59" spans="1:13" ht="21.4" customHeight="1" thickBot="1" x14ac:dyDescent="0.25">
      <c r="A59" s="28"/>
      <c r="B59" s="28"/>
      <c r="C59" s="28"/>
      <c r="D59" s="81" t="s">
        <v>137</v>
      </c>
      <c r="E59" s="81"/>
      <c r="F59" s="81"/>
      <c r="G59" s="81"/>
      <c r="H59" s="81"/>
      <c r="I59" s="81"/>
      <c r="J59" s="81"/>
      <c r="K59" s="81"/>
      <c r="L59" s="81"/>
      <c r="M59" s="81"/>
    </row>
    <row r="60" spans="1:13" ht="15.2" customHeight="1" thickBot="1" x14ac:dyDescent="0.25">
      <c r="A60" s="28"/>
      <c r="B60" s="28"/>
      <c r="C60" s="28"/>
      <c r="D60" s="28"/>
      <c r="E60" s="29" t="s">
        <v>138</v>
      </c>
      <c r="F60" s="30" t="s">
        <v>139</v>
      </c>
      <c r="G60" s="30" t="s">
        <v>140</v>
      </c>
      <c r="H60" s="30" t="s">
        <v>141</v>
      </c>
      <c r="I60" s="30" t="s">
        <v>142</v>
      </c>
      <c r="J60" s="30" t="s">
        <v>143</v>
      </c>
      <c r="K60" s="30" t="s">
        <v>144</v>
      </c>
      <c r="L60" s="28"/>
      <c r="M60" s="28"/>
    </row>
    <row r="61" spans="1:13" ht="15.2" customHeight="1" thickBot="1" x14ac:dyDescent="0.25">
      <c r="A61" s="28"/>
      <c r="B61" s="28"/>
      <c r="C61" s="28"/>
      <c r="D61" s="31"/>
      <c r="E61" s="32" t="s">
        <v>145</v>
      </c>
      <c r="F61" s="33">
        <v>51</v>
      </c>
      <c r="G61" s="34"/>
      <c r="H61" s="34"/>
      <c r="I61" s="34"/>
      <c r="J61" s="36">
        <f>ROUND(F61,3)</f>
        <v>51</v>
      </c>
      <c r="K61" s="37"/>
      <c r="L61" s="28"/>
      <c r="M61" s="28"/>
    </row>
    <row r="62" spans="1:13" ht="15.2" customHeight="1" thickBot="1" x14ac:dyDescent="0.25">
      <c r="A62" s="28"/>
      <c r="B62" s="28"/>
      <c r="C62" s="28"/>
      <c r="D62" s="31"/>
      <c r="E62" s="5" t="s">
        <v>146</v>
      </c>
      <c r="F62" s="3">
        <v>44</v>
      </c>
      <c r="G62" s="26"/>
      <c r="H62" s="26"/>
      <c r="I62" s="26"/>
      <c r="J62" s="35">
        <f>ROUND(F62,3)</f>
        <v>44</v>
      </c>
      <c r="K62" s="28"/>
      <c r="L62" s="28"/>
      <c r="M62" s="28"/>
    </row>
    <row r="63" spans="1:13" ht="15.2" customHeight="1" thickBot="1" x14ac:dyDescent="0.25">
      <c r="A63" s="28"/>
      <c r="B63" s="28"/>
      <c r="C63" s="28"/>
      <c r="D63" s="31"/>
      <c r="E63" s="5" t="s">
        <v>147</v>
      </c>
      <c r="F63" s="3">
        <v>47</v>
      </c>
      <c r="G63" s="26"/>
      <c r="H63" s="26"/>
      <c r="I63" s="26"/>
      <c r="J63" s="35">
        <f>ROUND(F63,3)</f>
        <v>47</v>
      </c>
      <c r="K63" s="28"/>
      <c r="L63" s="28"/>
      <c r="M63" s="28"/>
    </row>
    <row r="64" spans="1:13" ht="15.2" customHeight="1" thickBot="1" x14ac:dyDescent="0.25">
      <c r="A64" s="28"/>
      <c r="B64" s="28"/>
      <c r="C64" s="28"/>
      <c r="D64" s="31"/>
      <c r="E64" s="5" t="s">
        <v>148</v>
      </c>
      <c r="F64" s="3">
        <v>33</v>
      </c>
      <c r="G64" s="26"/>
      <c r="H64" s="26"/>
      <c r="I64" s="26"/>
      <c r="J64" s="35">
        <f>ROUND(F64,3)</f>
        <v>33</v>
      </c>
      <c r="K64" s="28"/>
      <c r="L64" s="28"/>
      <c r="M64" s="28"/>
    </row>
    <row r="65" spans="1:13" ht="15.2" customHeight="1" thickBot="1" x14ac:dyDescent="0.25">
      <c r="A65" s="28"/>
      <c r="B65" s="28"/>
      <c r="C65" s="28"/>
      <c r="D65" s="31"/>
      <c r="E65" s="5" t="s">
        <v>149</v>
      </c>
      <c r="F65" s="3">
        <v>36</v>
      </c>
      <c r="G65" s="26"/>
      <c r="H65" s="26"/>
      <c r="I65" s="26"/>
      <c r="J65" s="35">
        <f>ROUND(F65,3)</f>
        <v>36</v>
      </c>
      <c r="K65" s="38">
        <f>SUM(J61:J65)</f>
        <v>211</v>
      </c>
      <c r="L65" s="28"/>
      <c r="M65" s="28"/>
    </row>
    <row r="66" spans="1:13" ht="15.2" customHeight="1" thickBot="1" x14ac:dyDescent="0.25">
      <c r="A66" s="28"/>
      <c r="B66" s="28"/>
      <c r="C66" s="28"/>
      <c r="D66" s="28"/>
      <c r="E66" s="29" t="s">
        <v>150</v>
      </c>
      <c r="F66" s="30" t="s">
        <v>151</v>
      </c>
      <c r="G66" s="30" t="s">
        <v>152</v>
      </c>
      <c r="H66" s="30" t="s">
        <v>153</v>
      </c>
      <c r="I66" s="30" t="s">
        <v>154</v>
      </c>
      <c r="J66" s="30" t="s">
        <v>155</v>
      </c>
      <c r="K66" s="30" t="s">
        <v>156</v>
      </c>
      <c r="L66" s="28"/>
      <c r="M66" s="28"/>
    </row>
    <row r="67" spans="1:13" ht="15.2" customHeight="1" thickBot="1" x14ac:dyDescent="0.25">
      <c r="A67" s="28"/>
      <c r="B67" s="28"/>
      <c r="C67" s="28"/>
      <c r="D67" s="31"/>
      <c r="E67" s="32" t="s">
        <v>157</v>
      </c>
      <c r="F67" s="33">
        <v>2</v>
      </c>
      <c r="G67" s="34"/>
      <c r="H67" s="34"/>
      <c r="I67" s="34"/>
      <c r="J67" s="36">
        <f>ROUND(F67,3)</f>
        <v>2</v>
      </c>
      <c r="K67" s="37"/>
      <c r="L67" s="28"/>
      <c r="M67" s="28"/>
    </row>
    <row r="68" spans="1:13" ht="15.2" customHeight="1" thickBot="1" x14ac:dyDescent="0.25">
      <c r="A68" s="28"/>
      <c r="B68" s="28"/>
      <c r="C68" s="28"/>
      <c r="D68" s="31"/>
      <c r="E68" s="5" t="s">
        <v>158</v>
      </c>
      <c r="F68" s="3">
        <v>4</v>
      </c>
      <c r="G68" s="26"/>
      <c r="H68" s="26"/>
      <c r="I68" s="26"/>
      <c r="J68" s="35">
        <f>ROUND(F68,3)</f>
        <v>4</v>
      </c>
      <c r="K68" s="38">
        <f>SUM(J67:J68)</f>
        <v>6</v>
      </c>
      <c r="L68" s="28"/>
      <c r="M68" s="28"/>
    </row>
    <row r="69" spans="1:13" ht="15.4" customHeight="1" thickBot="1" x14ac:dyDescent="0.25">
      <c r="A69" s="10" t="s">
        <v>159</v>
      </c>
      <c r="B69" s="5" t="s">
        <v>160</v>
      </c>
      <c r="C69" s="5" t="s">
        <v>161</v>
      </c>
      <c r="D69" s="81" t="s">
        <v>162</v>
      </c>
      <c r="E69" s="81"/>
      <c r="F69" s="81"/>
      <c r="G69" s="81"/>
      <c r="H69" s="81"/>
      <c r="I69" s="81"/>
      <c r="J69" s="81"/>
      <c r="K69" s="26">
        <f>SUM(K72:K106)</f>
        <v>12098.16</v>
      </c>
      <c r="L69" s="27">
        <f>ROUND(4.36*(1+M2/100),2)</f>
        <v>4.49</v>
      </c>
      <c r="M69" s="27">
        <f>ROUND(K69*L69,2)</f>
        <v>54320.74</v>
      </c>
    </row>
    <row r="70" spans="1:13" ht="12.2" customHeight="1" thickBot="1" x14ac:dyDescent="0.25">
      <c r="A70" s="28"/>
      <c r="B70" s="28"/>
      <c r="C70" s="28"/>
      <c r="D70" s="81" t="s">
        <v>163</v>
      </c>
      <c r="E70" s="81"/>
      <c r="F70" s="81"/>
      <c r="G70" s="81"/>
      <c r="H70" s="81"/>
      <c r="I70" s="81"/>
      <c r="J70" s="81"/>
      <c r="K70" s="81"/>
      <c r="L70" s="81"/>
      <c r="M70" s="81"/>
    </row>
    <row r="71" spans="1:13" ht="15.2" customHeight="1" thickBot="1" x14ac:dyDescent="0.25">
      <c r="A71" s="28"/>
      <c r="B71" s="28"/>
      <c r="C71" s="28"/>
      <c r="D71" s="28"/>
      <c r="E71" s="29"/>
      <c r="F71" s="30" t="s">
        <v>164</v>
      </c>
      <c r="G71" s="30" t="s">
        <v>165</v>
      </c>
      <c r="H71" s="30" t="s">
        <v>166</v>
      </c>
      <c r="I71" s="30" t="s">
        <v>167</v>
      </c>
      <c r="J71" s="30" t="s">
        <v>168</v>
      </c>
      <c r="K71" s="30" t="s">
        <v>169</v>
      </c>
      <c r="L71" s="28"/>
      <c r="M71" s="28"/>
    </row>
    <row r="72" spans="1:13" ht="15.2" customHeight="1" thickBot="1" x14ac:dyDescent="0.25">
      <c r="A72" s="28"/>
      <c r="B72" s="28"/>
      <c r="C72" s="28"/>
      <c r="D72" s="31"/>
      <c r="E72" s="32" t="s">
        <v>170</v>
      </c>
      <c r="F72" s="33">
        <v>508</v>
      </c>
      <c r="G72" s="34">
        <v>1.08</v>
      </c>
      <c r="H72" s="34"/>
      <c r="I72" s="34"/>
      <c r="J72" s="36">
        <f>ROUND(F72*G72,3)</f>
        <v>548.64</v>
      </c>
      <c r="K72" s="37"/>
      <c r="L72" s="28"/>
      <c r="M72" s="28"/>
    </row>
    <row r="73" spans="1:13" ht="15.2" customHeight="1" thickBot="1" x14ac:dyDescent="0.25">
      <c r="A73" s="28"/>
      <c r="B73" s="28"/>
      <c r="C73" s="28"/>
      <c r="D73" s="31"/>
      <c r="E73" s="5" t="s">
        <v>171</v>
      </c>
      <c r="F73" s="3">
        <v>520</v>
      </c>
      <c r="G73" s="26">
        <v>1.08</v>
      </c>
      <c r="H73" s="26"/>
      <c r="I73" s="26"/>
      <c r="J73" s="35">
        <f>ROUND(F73*G73,3)</f>
        <v>561.6</v>
      </c>
      <c r="K73" s="28"/>
      <c r="L73" s="28"/>
      <c r="M73" s="28"/>
    </row>
    <row r="74" spans="1:13" ht="15.2" customHeight="1" thickBot="1" x14ac:dyDescent="0.25">
      <c r="A74" s="28"/>
      <c r="B74" s="28"/>
      <c r="C74" s="28"/>
      <c r="D74" s="31"/>
      <c r="E74" s="5" t="s">
        <v>172</v>
      </c>
      <c r="F74" s="3">
        <v>126</v>
      </c>
      <c r="G74" s="26">
        <v>1.08</v>
      </c>
      <c r="H74" s="26"/>
      <c r="I74" s="26"/>
      <c r="J74" s="35">
        <f>ROUND(F74*G74,3)</f>
        <v>136.08000000000001</v>
      </c>
      <c r="K74" s="28"/>
      <c r="L74" s="28"/>
      <c r="M74" s="28"/>
    </row>
    <row r="75" spans="1:13" ht="15.2" customHeight="1" thickBot="1" x14ac:dyDescent="0.25">
      <c r="A75" s="28"/>
      <c r="B75" s="28"/>
      <c r="C75" s="28"/>
      <c r="D75" s="31"/>
      <c r="E75" s="5" t="s">
        <v>173</v>
      </c>
      <c r="F75" s="3">
        <v>275</v>
      </c>
      <c r="G75" s="26">
        <v>1.08</v>
      </c>
      <c r="H75" s="26"/>
      <c r="I75" s="26"/>
      <c r="J75" s="35">
        <f>ROUND(F75*G75,3)</f>
        <v>297</v>
      </c>
      <c r="K75" s="28"/>
      <c r="L75" s="28"/>
      <c r="M75" s="28"/>
    </row>
    <row r="76" spans="1:13" ht="15.2" customHeight="1" thickBot="1" x14ac:dyDescent="0.25">
      <c r="A76" s="28"/>
      <c r="B76" s="28"/>
      <c r="C76" s="28"/>
      <c r="D76" s="31"/>
      <c r="E76" s="5" t="s">
        <v>174</v>
      </c>
      <c r="F76" s="3">
        <v>232</v>
      </c>
      <c r="G76" s="26">
        <v>1.08</v>
      </c>
      <c r="H76" s="26"/>
      <c r="I76" s="26"/>
      <c r="J76" s="35">
        <f>ROUND(F76*G76,3)</f>
        <v>250.56</v>
      </c>
      <c r="K76" s="38">
        <f>SUM(J72:J76)</f>
        <v>1793.8799999999999</v>
      </c>
      <c r="L76" s="28"/>
      <c r="M76" s="28"/>
    </row>
    <row r="77" spans="1:13" ht="15.2" customHeight="1" thickBot="1" x14ac:dyDescent="0.25">
      <c r="A77" s="28"/>
      <c r="B77" s="28"/>
      <c r="C77" s="28"/>
      <c r="D77" s="28"/>
      <c r="E77" s="29"/>
      <c r="F77" s="30" t="s">
        <v>175</v>
      </c>
      <c r="G77" s="30" t="s">
        <v>176</v>
      </c>
      <c r="H77" s="30" t="s">
        <v>177</v>
      </c>
      <c r="I77" s="30" t="s">
        <v>178</v>
      </c>
      <c r="J77" s="30" t="s">
        <v>179</v>
      </c>
      <c r="K77" s="30" t="s">
        <v>180</v>
      </c>
      <c r="L77" s="28"/>
      <c r="M77" s="28"/>
    </row>
    <row r="78" spans="1:13" ht="15.2" customHeight="1" thickBot="1" x14ac:dyDescent="0.25">
      <c r="A78" s="28"/>
      <c r="B78" s="28"/>
      <c r="C78" s="28"/>
      <c r="D78" s="31"/>
      <c r="E78" s="32" t="s">
        <v>181</v>
      </c>
      <c r="F78" s="33">
        <v>485</v>
      </c>
      <c r="G78" s="34">
        <v>1.08</v>
      </c>
      <c r="H78" s="34"/>
      <c r="I78" s="34"/>
      <c r="J78" s="36">
        <f t="shared" ref="J78:J83" si="2">ROUND(F78*G78,3)</f>
        <v>523.79999999999995</v>
      </c>
      <c r="K78" s="37"/>
      <c r="L78" s="28"/>
      <c r="M78" s="28"/>
    </row>
    <row r="79" spans="1:13" ht="15.2" customHeight="1" thickBot="1" x14ac:dyDescent="0.25">
      <c r="A79" s="28"/>
      <c r="B79" s="28"/>
      <c r="C79" s="28"/>
      <c r="D79" s="31"/>
      <c r="E79" s="5" t="s">
        <v>182</v>
      </c>
      <c r="F79" s="3">
        <v>450</v>
      </c>
      <c r="G79" s="26">
        <v>1.08</v>
      </c>
      <c r="H79" s="26"/>
      <c r="I79" s="26"/>
      <c r="J79" s="35">
        <f t="shared" si="2"/>
        <v>486</v>
      </c>
      <c r="K79" s="28"/>
      <c r="L79" s="28"/>
      <c r="M79" s="28"/>
    </row>
    <row r="80" spans="1:13" ht="15.2" customHeight="1" thickBot="1" x14ac:dyDescent="0.25">
      <c r="A80" s="28"/>
      <c r="B80" s="28"/>
      <c r="C80" s="28"/>
      <c r="D80" s="31"/>
      <c r="E80" s="5" t="s">
        <v>183</v>
      </c>
      <c r="F80" s="3">
        <v>529</v>
      </c>
      <c r="G80" s="26">
        <v>1.08</v>
      </c>
      <c r="H80" s="26"/>
      <c r="I80" s="26"/>
      <c r="J80" s="35">
        <f t="shared" si="2"/>
        <v>571.32000000000005</v>
      </c>
      <c r="K80" s="28"/>
      <c r="L80" s="28"/>
      <c r="M80" s="28"/>
    </row>
    <row r="81" spans="1:13" ht="15.2" customHeight="1" thickBot="1" x14ac:dyDescent="0.25">
      <c r="A81" s="28"/>
      <c r="B81" s="28"/>
      <c r="C81" s="28"/>
      <c r="D81" s="31"/>
      <c r="E81" s="5" t="s">
        <v>184</v>
      </c>
      <c r="F81" s="3">
        <v>417</v>
      </c>
      <c r="G81" s="26">
        <v>1.08</v>
      </c>
      <c r="H81" s="26"/>
      <c r="I81" s="26"/>
      <c r="J81" s="35">
        <f t="shared" si="2"/>
        <v>450.36</v>
      </c>
      <c r="K81" s="28"/>
      <c r="L81" s="28"/>
      <c r="M81" s="28"/>
    </row>
    <row r="82" spans="1:13" ht="15.2" customHeight="1" thickBot="1" x14ac:dyDescent="0.25">
      <c r="A82" s="28"/>
      <c r="B82" s="28"/>
      <c r="C82" s="28"/>
      <c r="D82" s="31"/>
      <c r="E82" s="5" t="s">
        <v>185</v>
      </c>
      <c r="F82" s="3">
        <v>135</v>
      </c>
      <c r="G82" s="26">
        <v>1.08</v>
      </c>
      <c r="H82" s="26"/>
      <c r="I82" s="26"/>
      <c r="J82" s="35">
        <f t="shared" si="2"/>
        <v>145.80000000000001</v>
      </c>
      <c r="K82" s="28"/>
      <c r="L82" s="28"/>
      <c r="M82" s="28"/>
    </row>
    <row r="83" spans="1:13" ht="15.2" customHeight="1" thickBot="1" x14ac:dyDescent="0.25">
      <c r="A83" s="28"/>
      <c r="B83" s="28"/>
      <c r="C83" s="28"/>
      <c r="D83" s="31"/>
      <c r="E83" s="5" t="s">
        <v>186</v>
      </c>
      <c r="F83" s="3">
        <v>110</v>
      </c>
      <c r="G83" s="26">
        <v>1.08</v>
      </c>
      <c r="H83" s="26"/>
      <c r="I83" s="26"/>
      <c r="J83" s="35">
        <f t="shared" si="2"/>
        <v>118.8</v>
      </c>
      <c r="K83" s="38">
        <f>SUM(J78:J83)</f>
        <v>2296.0800000000004</v>
      </c>
      <c r="L83" s="28"/>
      <c r="M83" s="28"/>
    </row>
    <row r="84" spans="1:13" ht="15.2" customHeight="1" thickBot="1" x14ac:dyDescent="0.25">
      <c r="A84" s="28"/>
      <c r="B84" s="28"/>
      <c r="C84" s="28"/>
      <c r="D84" s="28"/>
      <c r="E84" s="29"/>
      <c r="F84" s="30" t="s">
        <v>187</v>
      </c>
      <c r="G84" s="30" t="s">
        <v>188</v>
      </c>
      <c r="H84" s="30" t="s">
        <v>189</v>
      </c>
      <c r="I84" s="30" t="s">
        <v>190</v>
      </c>
      <c r="J84" s="30" t="s">
        <v>191</v>
      </c>
      <c r="K84" s="30" t="s">
        <v>192</v>
      </c>
      <c r="L84" s="28"/>
      <c r="M84" s="28"/>
    </row>
    <row r="85" spans="1:13" ht="15.2" customHeight="1" thickBot="1" x14ac:dyDescent="0.25">
      <c r="A85" s="28"/>
      <c r="B85" s="28"/>
      <c r="C85" s="28"/>
      <c r="D85" s="31"/>
      <c r="E85" s="32" t="s">
        <v>193</v>
      </c>
      <c r="F85" s="33">
        <v>350</v>
      </c>
      <c r="G85" s="34">
        <v>1.08</v>
      </c>
      <c r="H85" s="34"/>
      <c r="I85" s="34"/>
      <c r="J85" s="36">
        <f>ROUND(F85*G85,3)</f>
        <v>378</v>
      </c>
      <c r="K85" s="37"/>
      <c r="L85" s="28"/>
      <c r="M85" s="28"/>
    </row>
    <row r="86" spans="1:13" ht="15.2" customHeight="1" thickBot="1" x14ac:dyDescent="0.25">
      <c r="A86" s="28"/>
      <c r="B86" s="28"/>
      <c r="C86" s="28"/>
      <c r="D86" s="31"/>
      <c r="E86" s="5" t="s">
        <v>194</v>
      </c>
      <c r="F86" s="3">
        <v>418</v>
      </c>
      <c r="G86" s="26">
        <v>1.08</v>
      </c>
      <c r="H86" s="26"/>
      <c r="I86" s="26"/>
      <c r="J86" s="35">
        <f>ROUND(F86*G86,3)</f>
        <v>451.44</v>
      </c>
      <c r="K86" s="28"/>
      <c r="L86" s="28"/>
      <c r="M86" s="28"/>
    </row>
    <row r="87" spans="1:13" ht="15.2" customHeight="1" thickBot="1" x14ac:dyDescent="0.25">
      <c r="A87" s="28"/>
      <c r="B87" s="28"/>
      <c r="C87" s="28"/>
      <c r="D87" s="31"/>
      <c r="E87" s="5" t="s">
        <v>195</v>
      </c>
      <c r="F87" s="3">
        <v>527</v>
      </c>
      <c r="G87" s="26">
        <v>1.08</v>
      </c>
      <c r="H87" s="26"/>
      <c r="I87" s="26"/>
      <c r="J87" s="35">
        <f>ROUND(F87*G87,3)</f>
        <v>569.16</v>
      </c>
      <c r="K87" s="28"/>
      <c r="L87" s="28"/>
      <c r="M87" s="28"/>
    </row>
    <row r="88" spans="1:13" ht="15.2" customHeight="1" thickBot="1" x14ac:dyDescent="0.25">
      <c r="A88" s="28"/>
      <c r="B88" s="28"/>
      <c r="C88" s="28"/>
      <c r="D88" s="31"/>
      <c r="E88" s="5" t="s">
        <v>196</v>
      </c>
      <c r="F88" s="3">
        <v>596</v>
      </c>
      <c r="G88" s="26">
        <v>1.08</v>
      </c>
      <c r="H88" s="26"/>
      <c r="I88" s="26"/>
      <c r="J88" s="35">
        <f>ROUND(F88*G88,3)</f>
        <v>643.67999999999995</v>
      </c>
      <c r="K88" s="28"/>
      <c r="L88" s="28"/>
      <c r="M88" s="28"/>
    </row>
    <row r="89" spans="1:13" ht="15.2" customHeight="1" thickBot="1" x14ac:dyDescent="0.25">
      <c r="A89" s="28"/>
      <c r="B89" s="28"/>
      <c r="C89" s="28"/>
      <c r="D89" s="31"/>
      <c r="E89" s="5" t="s">
        <v>197</v>
      </c>
      <c r="F89" s="3">
        <v>377</v>
      </c>
      <c r="G89" s="26">
        <v>1.08</v>
      </c>
      <c r="H89" s="26"/>
      <c r="I89" s="26"/>
      <c r="J89" s="35">
        <f>ROUND(F89*G89,3)</f>
        <v>407.16</v>
      </c>
      <c r="K89" s="38">
        <f>SUM(J85:J89)</f>
        <v>2449.4399999999996</v>
      </c>
      <c r="L89" s="28"/>
      <c r="M89" s="28"/>
    </row>
    <row r="90" spans="1:13" ht="15.2" customHeight="1" thickBot="1" x14ac:dyDescent="0.25">
      <c r="A90" s="28"/>
      <c r="B90" s="28"/>
      <c r="C90" s="28"/>
      <c r="D90" s="28"/>
      <c r="E90" s="29"/>
      <c r="F90" s="30" t="s">
        <v>198</v>
      </c>
      <c r="G90" s="30" t="s">
        <v>199</v>
      </c>
      <c r="H90" s="30" t="s">
        <v>200</v>
      </c>
      <c r="I90" s="30" t="s">
        <v>201</v>
      </c>
      <c r="J90" s="30" t="s">
        <v>202</v>
      </c>
      <c r="K90" s="30" t="s">
        <v>203</v>
      </c>
      <c r="L90" s="28"/>
      <c r="M90" s="28"/>
    </row>
    <row r="91" spans="1:13" ht="15.2" customHeight="1" thickBot="1" x14ac:dyDescent="0.25">
      <c r="A91" s="28"/>
      <c r="B91" s="28"/>
      <c r="C91" s="28"/>
      <c r="D91" s="31"/>
      <c r="E91" s="32" t="s">
        <v>204</v>
      </c>
      <c r="F91" s="33">
        <v>697</v>
      </c>
      <c r="G91" s="34">
        <v>1.08</v>
      </c>
      <c r="H91" s="34"/>
      <c r="I91" s="34"/>
      <c r="J91" s="36">
        <f t="shared" ref="J91:J97" si="3">ROUND(F91*G91,3)</f>
        <v>752.76</v>
      </c>
      <c r="K91" s="37"/>
      <c r="L91" s="28"/>
      <c r="M91" s="28"/>
    </row>
    <row r="92" spans="1:13" ht="15.2" customHeight="1" thickBot="1" x14ac:dyDescent="0.25">
      <c r="A92" s="28"/>
      <c r="B92" s="28"/>
      <c r="C92" s="28"/>
      <c r="D92" s="31"/>
      <c r="E92" s="5" t="s">
        <v>205</v>
      </c>
      <c r="F92" s="3">
        <v>93</v>
      </c>
      <c r="G92" s="26">
        <v>1.08</v>
      </c>
      <c r="H92" s="26"/>
      <c r="I92" s="26"/>
      <c r="J92" s="35">
        <f t="shared" si="3"/>
        <v>100.44</v>
      </c>
      <c r="K92" s="28"/>
      <c r="L92" s="28"/>
      <c r="M92" s="28"/>
    </row>
    <row r="93" spans="1:13" ht="15.2" customHeight="1" thickBot="1" x14ac:dyDescent="0.25">
      <c r="A93" s="28"/>
      <c r="B93" s="28"/>
      <c r="C93" s="28"/>
      <c r="D93" s="31"/>
      <c r="E93" s="5" t="s">
        <v>206</v>
      </c>
      <c r="F93" s="3">
        <v>272</v>
      </c>
      <c r="G93" s="26">
        <v>1.08</v>
      </c>
      <c r="H93" s="26"/>
      <c r="I93" s="26"/>
      <c r="J93" s="35">
        <f t="shared" si="3"/>
        <v>293.76</v>
      </c>
      <c r="K93" s="28"/>
      <c r="L93" s="28"/>
      <c r="M93" s="28"/>
    </row>
    <row r="94" spans="1:13" ht="15.2" customHeight="1" thickBot="1" x14ac:dyDescent="0.25">
      <c r="A94" s="28"/>
      <c r="B94" s="28"/>
      <c r="C94" s="28"/>
      <c r="D94" s="31"/>
      <c r="E94" s="5" t="s">
        <v>207</v>
      </c>
      <c r="F94" s="3">
        <v>152</v>
      </c>
      <c r="G94" s="26">
        <v>1.08</v>
      </c>
      <c r="H94" s="26"/>
      <c r="I94" s="26"/>
      <c r="J94" s="35">
        <f t="shared" si="3"/>
        <v>164.16</v>
      </c>
      <c r="K94" s="28"/>
      <c r="L94" s="28"/>
      <c r="M94" s="28"/>
    </row>
    <row r="95" spans="1:13" ht="15.2" customHeight="1" thickBot="1" x14ac:dyDescent="0.25">
      <c r="A95" s="28"/>
      <c r="B95" s="28"/>
      <c r="C95" s="28"/>
      <c r="D95" s="31"/>
      <c r="E95" s="5" t="s">
        <v>208</v>
      </c>
      <c r="F95" s="3">
        <v>449</v>
      </c>
      <c r="G95" s="26">
        <v>1.08</v>
      </c>
      <c r="H95" s="26"/>
      <c r="I95" s="26"/>
      <c r="J95" s="35">
        <f t="shared" si="3"/>
        <v>484.92</v>
      </c>
      <c r="K95" s="28"/>
      <c r="L95" s="28"/>
      <c r="M95" s="28"/>
    </row>
    <row r="96" spans="1:13" ht="15.2" customHeight="1" thickBot="1" x14ac:dyDescent="0.25">
      <c r="A96" s="28"/>
      <c r="B96" s="28"/>
      <c r="C96" s="28"/>
      <c r="D96" s="31"/>
      <c r="E96" s="5" t="s">
        <v>209</v>
      </c>
      <c r="F96" s="3">
        <v>128</v>
      </c>
      <c r="G96" s="26">
        <v>1.08</v>
      </c>
      <c r="H96" s="26"/>
      <c r="I96" s="26"/>
      <c r="J96" s="35">
        <f t="shared" si="3"/>
        <v>138.24</v>
      </c>
      <c r="K96" s="28"/>
      <c r="L96" s="28"/>
      <c r="M96" s="28"/>
    </row>
    <row r="97" spans="1:13" ht="15.2" customHeight="1" thickBot="1" x14ac:dyDescent="0.25">
      <c r="A97" s="28"/>
      <c r="B97" s="28"/>
      <c r="C97" s="28"/>
      <c r="D97" s="31"/>
      <c r="E97" s="5" t="s">
        <v>210</v>
      </c>
      <c r="F97" s="3">
        <v>503</v>
      </c>
      <c r="G97" s="26">
        <v>1.08</v>
      </c>
      <c r="H97" s="26"/>
      <c r="I97" s="26"/>
      <c r="J97" s="35">
        <f t="shared" si="3"/>
        <v>543.24</v>
      </c>
      <c r="K97" s="38">
        <f>SUM(J91:J97)</f>
        <v>2477.5200000000004</v>
      </c>
      <c r="L97" s="28"/>
      <c r="M97" s="28"/>
    </row>
    <row r="98" spans="1:13" ht="15.2" customHeight="1" thickBot="1" x14ac:dyDescent="0.25">
      <c r="A98" s="28"/>
      <c r="B98" s="28"/>
      <c r="C98" s="28"/>
      <c r="D98" s="28"/>
      <c r="E98" s="29"/>
      <c r="F98" s="30" t="s">
        <v>211</v>
      </c>
      <c r="G98" s="30" t="s">
        <v>212</v>
      </c>
      <c r="H98" s="30" t="s">
        <v>213</v>
      </c>
      <c r="I98" s="30" t="s">
        <v>214</v>
      </c>
      <c r="J98" s="30" t="s">
        <v>215</v>
      </c>
      <c r="K98" s="30" t="s">
        <v>216</v>
      </c>
      <c r="L98" s="28"/>
      <c r="M98" s="28"/>
    </row>
    <row r="99" spans="1:13" ht="15.2" customHeight="1" thickBot="1" x14ac:dyDescent="0.25">
      <c r="A99" s="28"/>
      <c r="B99" s="28"/>
      <c r="C99" s="28"/>
      <c r="D99" s="31"/>
      <c r="E99" s="32" t="s">
        <v>217</v>
      </c>
      <c r="F99" s="33">
        <v>150</v>
      </c>
      <c r="G99" s="34">
        <v>1.08</v>
      </c>
      <c r="H99" s="34"/>
      <c r="I99" s="34"/>
      <c r="J99" s="36">
        <f t="shared" ref="J99:J106" si="4">ROUND(F99*G99,3)</f>
        <v>162</v>
      </c>
      <c r="K99" s="37"/>
      <c r="L99" s="28"/>
      <c r="M99" s="28"/>
    </row>
    <row r="100" spans="1:13" ht="15.2" customHeight="1" thickBot="1" x14ac:dyDescent="0.25">
      <c r="A100" s="28"/>
      <c r="B100" s="28"/>
      <c r="C100" s="28"/>
      <c r="D100" s="31"/>
      <c r="E100" s="5" t="s">
        <v>218</v>
      </c>
      <c r="F100" s="3">
        <v>380</v>
      </c>
      <c r="G100" s="26">
        <v>1.08</v>
      </c>
      <c r="H100" s="26"/>
      <c r="I100" s="26"/>
      <c r="J100" s="35">
        <f t="shared" si="4"/>
        <v>410.4</v>
      </c>
      <c r="K100" s="28"/>
      <c r="L100" s="28"/>
      <c r="M100" s="28"/>
    </row>
    <row r="101" spans="1:13" ht="15.2" customHeight="1" thickBot="1" x14ac:dyDescent="0.25">
      <c r="A101" s="28"/>
      <c r="B101" s="28"/>
      <c r="C101" s="28"/>
      <c r="D101" s="31"/>
      <c r="E101" s="5" t="s">
        <v>219</v>
      </c>
      <c r="F101" s="3">
        <v>277</v>
      </c>
      <c r="G101" s="26">
        <v>1.08</v>
      </c>
      <c r="H101" s="26"/>
      <c r="I101" s="26"/>
      <c r="J101" s="35">
        <f t="shared" si="4"/>
        <v>299.16000000000003</v>
      </c>
      <c r="K101" s="28"/>
      <c r="L101" s="28"/>
      <c r="M101" s="28"/>
    </row>
    <row r="102" spans="1:13" ht="15.2" customHeight="1" thickBot="1" x14ac:dyDescent="0.25">
      <c r="A102" s="28"/>
      <c r="B102" s="28"/>
      <c r="C102" s="28"/>
      <c r="D102" s="31"/>
      <c r="E102" s="5" t="s">
        <v>220</v>
      </c>
      <c r="F102" s="3">
        <v>522</v>
      </c>
      <c r="G102" s="26">
        <v>1.08</v>
      </c>
      <c r="H102" s="26"/>
      <c r="I102" s="26"/>
      <c r="J102" s="35">
        <f t="shared" si="4"/>
        <v>563.76</v>
      </c>
      <c r="K102" s="28"/>
      <c r="L102" s="28"/>
      <c r="M102" s="28"/>
    </row>
    <row r="103" spans="1:13" ht="15.2" customHeight="1" thickBot="1" x14ac:dyDescent="0.25">
      <c r="A103" s="28"/>
      <c r="B103" s="28"/>
      <c r="C103" s="28"/>
      <c r="D103" s="31"/>
      <c r="E103" s="5" t="s">
        <v>221</v>
      </c>
      <c r="F103" s="3">
        <v>339</v>
      </c>
      <c r="G103" s="26">
        <v>1.08</v>
      </c>
      <c r="H103" s="26"/>
      <c r="I103" s="26"/>
      <c r="J103" s="35">
        <f t="shared" si="4"/>
        <v>366.12</v>
      </c>
      <c r="K103" s="28"/>
      <c r="L103" s="28"/>
      <c r="M103" s="28"/>
    </row>
    <row r="104" spans="1:13" ht="15.2" customHeight="1" thickBot="1" x14ac:dyDescent="0.25">
      <c r="A104" s="28"/>
      <c r="B104" s="28"/>
      <c r="C104" s="28"/>
      <c r="D104" s="31"/>
      <c r="E104" s="5" t="s">
        <v>222</v>
      </c>
      <c r="F104" s="3">
        <v>395</v>
      </c>
      <c r="G104" s="26">
        <v>1.08</v>
      </c>
      <c r="H104" s="26"/>
      <c r="I104" s="26"/>
      <c r="J104" s="35">
        <f t="shared" si="4"/>
        <v>426.6</v>
      </c>
      <c r="K104" s="28"/>
      <c r="L104" s="28"/>
      <c r="M104" s="28"/>
    </row>
    <row r="105" spans="1:13" ht="15.2" customHeight="1" thickBot="1" x14ac:dyDescent="0.25">
      <c r="A105" s="28"/>
      <c r="B105" s="28"/>
      <c r="C105" s="28"/>
      <c r="D105" s="31"/>
      <c r="E105" s="5" t="s">
        <v>223</v>
      </c>
      <c r="F105" s="3">
        <v>357</v>
      </c>
      <c r="G105" s="26">
        <v>1.08</v>
      </c>
      <c r="H105" s="26"/>
      <c r="I105" s="26"/>
      <c r="J105" s="35">
        <f t="shared" si="4"/>
        <v>385.56</v>
      </c>
      <c r="K105" s="28"/>
      <c r="L105" s="28"/>
      <c r="M105" s="28"/>
    </row>
    <row r="106" spans="1:13" ht="15.2" customHeight="1" thickBot="1" x14ac:dyDescent="0.25">
      <c r="A106" s="28"/>
      <c r="B106" s="28"/>
      <c r="C106" s="28"/>
      <c r="D106" s="31"/>
      <c r="E106" s="5" t="s">
        <v>224</v>
      </c>
      <c r="F106" s="3">
        <v>433</v>
      </c>
      <c r="G106" s="26">
        <v>1.08</v>
      </c>
      <c r="H106" s="26"/>
      <c r="I106" s="26"/>
      <c r="J106" s="35">
        <f t="shared" si="4"/>
        <v>467.64</v>
      </c>
      <c r="K106" s="38">
        <f>SUM(J99:J106)</f>
        <v>3081.24</v>
      </c>
      <c r="L106" s="28"/>
      <c r="M106" s="28"/>
    </row>
    <row r="107" spans="1:13" ht="15.4" customHeight="1" thickBot="1" x14ac:dyDescent="0.25">
      <c r="A107" s="10" t="s">
        <v>225</v>
      </c>
      <c r="B107" s="5" t="s">
        <v>226</v>
      </c>
      <c r="C107" s="5" t="s">
        <v>227</v>
      </c>
      <c r="D107" s="81" t="s">
        <v>228</v>
      </c>
      <c r="E107" s="81"/>
      <c r="F107" s="81"/>
      <c r="G107" s="81"/>
      <c r="H107" s="81"/>
      <c r="I107" s="81"/>
      <c r="J107" s="81"/>
      <c r="K107" s="26">
        <f>SUM(K110:K144)</f>
        <v>12098.16</v>
      </c>
      <c r="L107" s="27">
        <f>ROUND(3.48*(1+M2/100),2)</f>
        <v>3.58</v>
      </c>
      <c r="M107" s="27">
        <f>ROUND(K107*L107,2)</f>
        <v>43311.41</v>
      </c>
    </row>
    <row r="108" spans="1:13" ht="30.6" customHeight="1" thickBot="1" x14ac:dyDescent="0.25">
      <c r="A108" s="28"/>
      <c r="B108" s="28"/>
      <c r="C108" s="28"/>
      <c r="D108" s="81" t="s">
        <v>229</v>
      </c>
      <c r="E108" s="81"/>
      <c r="F108" s="81"/>
      <c r="G108" s="81"/>
      <c r="H108" s="81"/>
      <c r="I108" s="81"/>
      <c r="J108" s="81"/>
      <c r="K108" s="81"/>
      <c r="L108" s="81"/>
      <c r="M108" s="81"/>
    </row>
    <row r="109" spans="1:13" ht="15.2" customHeight="1" thickBot="1" x14ac:dyDescent="0.25">
      <c r="A109" s="28"/>
      <c r="B109" s="28"/>
      <c r="C109" s="28"/>
      <c r="D109" s="28"/>
      <c r="E109" s="29"/>
      <c r="F109" s="30" t="s">
        <v>230</v>
      </c>
      <c r="G109" s="30" t="s">
        <v>231</v>
      </c>
      <c r="H109" s="30" t="s">
        <v>232</v>
      </c>
      <c r="I109" s="30" t="s">
        <v>233</v>
      </c>
      <c r="J109" s="30" t="s">
        <v>234</v>
      </c>
      <c r="K109" s="30" t="s">
        <v>235</v>
      </c>
      <c r="L109" s="28"/>
      <c r="M109" s="28"/>
    </row>
    <row r="110" spans="1:13" ht="15.2" customHeight="1" thickBot="1" x14ac:dyDescent="0.25">
      <c r="A110" s="28"/>
      <c r="B110" s="28"/>
      <c r="C110" s="28"/>
      <c r="D110" s="31"/>
      <c r="E110" s="32" t="s">
        <v>236</v>
      </c>
      <c r="F110" s="33">
        <v>508</v>
      </c>
      <c r="G110" s="34">
        <v>1.08</v>
      </c>
      <c r="H110" s="34"/>
      <c r="I110" s="34"/>
      <c r="J110" s="36">
        <f>ROUND(F110*G110,3)</f>
        <v>548.64</v>
      </c>
      <c r="K110" s="37"/>
      <c r="L110" s="28"/>
      <c r="M110" s="28"/>
    </row>
    <row r="111" spans="1:13" ht="15.2" customHeight="1" thickBot="1" x14ac:dyDescent="0.25">
      <c r="A111" s="28"/>
      <c r="B111" s="28"/>
      <c r="C111" s="28"/>
      <c r="D111" s="31"/>
      <c r="E111" s="5" t="s">
        <v>237</v>
      </c>
      <c r="F111" s="3">
        <v>520</v>
      </c>
      <c r="G111" s="26">
        <v>1.08</v>
      </c>
      <c r="H111" s="26"/>
      <c r="I111" s="26"/>
      <c r="J111" s="35">
        <f>ROUND(F111*G111,3)</f>
        <v>561.6</v>
      </c>
      <c r="K111" s="28"/>
      <c r="L111" s="28"/>
      <c r="M111" s="28"/>
    </row>
    <row r="112" spans="1:13" ht="15.2" customHeight="1" thickBot="1" x14ac:dyDescent="0.25">
      <c r="A112" s="28"/>
      <c r="B112" s="28"/>
      <c r="C112" s="28"/>
      <c r="D112" s="31"/>
      <c r="E112" s="5" t="s">
        <v>238</v>
      </c>
      <c r="F112" s="3">
        <v>126</v>
      </c>
      <c r="G112" s="26">
        <v>1.08</v>
      </c>
      <c r="H112" s="26"/>
      <c r="I112" s="26"/>
      <c r="J112" s="35">
        <f>ROUND(F112*G112,3)</f>
        <v>136.08000000000001</v>
      </c>
      <c r="K112" s="28"/>
      <c r="L112" s="28"/>
      <c r="M112" s="28"/>
    </row>
    <row r="113" spans="1:13" ht="15.2" customHeight="1" thickBot="1" x14ac:dyDescent="0.25">
      <c r="A113" s="28"/>
      <c r="B113" s="28"/>
      <c r="C113" s="28"/>
      <c r="D113" s="31"/>
      <c r="E113" s="5" t="s">
        <v>239</v>
      </c>
      <c r="F113" s="3">
        <v>275</v>
      </c>
      <c r="G113" s="26">
        <v>1.08</v>
      </c>
      <c r="H113" s="26"/>
      <c r="I113" s="26"/>
      <c r="J113" s="35">
        <f>ROUND(F113*G113,3)</f>
        <v>297</v>
      </c>
      <c r="K113" s="28"/>
      <c r="L113" s="28"/>
      <c r="M113" s="28"/>
    </row>
    <row r="114" spans="1:13" ht="15.2" customHeight="1" thickBot="1" x14ac:dyDescent="0.25">
      <c r="A114" s="28"/>
      <c r="B114" s="28"/>
      <c r="C114" s="28"/>
      <c r="D114" s="31"/>
      <c r="E114" s="5" t="s">
        <v>240</v>
      </c>
      <c r="F114" s="3">
        <v>232</v>
      </c>
      <c r="G114" s="26">
        <v>1.08</v>
      </c>
      <c r="H114" s="26"/>
      <c r="I114" s="26"/>
      <c r="J114" s="35">
        <f>ROUND(F114*G114,3)</f>
        <v>250.56</v>
      </c>
      <c r="K114" s="38">
        <f>SUM(J110:J114)</f>
        <v>1793.8799999999999</v>
      </c>
      <c r="L114" s="28"/>
      <c r="M114" s="28"/>
    </row>
    <row r="115" spans="1:13" ht="15.2" customHeight="1" thickBot="1" x14ac:dyDescent="0.25">
      <c r="A115" s="28"/>
      <c r="B115" s="28"/>
      <c r="C115" s="28"/>
      <c r="D115" s="28"/>
      <c r="E115" s="29"/>
      <c r="F115" s="30" t="s">
        <v>241</v>
      </c>
      <c r="G115" s="30" t="s">
        <v>242</v>
      </c>
      <c r="H115" s="30" t="s">
        <v>243</v>
      </c>
      <c r="I115" s="30" t="s">
        <v>244</v>
      </c>
      <c r="J115" s="30" t="s">
        <v>245</v>
      </c>
      <c r="K115" s="30" t="s">
        <v>246</v>
      </c>
      <c r="L115" s="28"/>
      <c r="M115" s="28"/>
    </row>
    <row r="116" spans="1:13" ht="15.2" customHeight="1" thickBot="1" x14ac:dyDescent="0.25">
      <c r="A116" s="28"/>
      <c r="B116" s="28"/>
      <c r="C116" s="28"/>
      <c r="D116" s="31"/>
      <c r="E116" s="32" t="s">
        <v>247</v>
      </c>
      <c r="F116" s="33">
        <v>485</v>
      </c>
      <c r="G116" s="34">
        <v>1.08</v>
      </c>
      <c r="H116" s="34"/>
      <c r="I116" s="34"/>
      <c r="J116" s="36">
        <f t="shared" ref="J116:J121" si="5">ROUND(F116*G116,3)</f>
        <v>523.79999999999995</v>
      </c>
      <c r="K116" s="37"/>
      <c r="L116" s="28"/>
      <c r="M116" s="28"/>
    </row>
    <row r="117" spans="1:13" ht="15.2" customHeight="1" thickBot="1" x14ac:dyDescent="0.25">
      <c r="A117" s="28"/>
      <c r="B117" s="28"/>
      <c r="C117" s="28"/>
      <c r="D117" s="31"/>
      <c r="E117" s="5" t="s">
        <v>248</v>
      </c>
      <c r="F117" s="3">
        <v>450</v>
      </c>
      <c r="G117" s="26">
        <v>1.08</v>
      </c>
      <c r="H117" s="26"/>
      <c r="I117" s="26"/>
      <c r="J117" s="35">
        <f t="shared" si="5"/>
        <v>486</v>
      </c>
      <c r="K117" s="28"/>
      <c r="L117" s="28"/>
      <c r="M117" s="28"/>
    </row>
    <row r="118" spans="1:13" ht="15.2" customHeight="1" thickBot="1" x14ac:dyDescent="0.25">
      <c r="A118" s="28"/>
      <c r="B118" s="28"/>
      <c r="C118" s="28"/>
      <c r="D118" s="31"/>
      <c r="E118" s="5" t="s">
        <v>249</v>
      </c>
      <c r="F118" s="3">
        <v>529</v>
      </c>
      <c r="G118" s="26">
        <v>1.08</v>
      </c>
      <c r="H118" s="26"/>
      <c r="I118" s="26"/>
      <c r="J118" s="35">
        <f t="shared" si="5"/>
        <v>571.32000000000005</v>
      </c>
      <c r="K118" s="28"/>
      <c r="L118" s="28"/>
      <c r="M118" s="28"/>
    </row>
    <row r="119" spans="1:13" ht="15.2" customHeight="1" thickBot="1" x14ac:dyDescent="0.25">
      <c r="A119" s="28"/>
      <c r="B119" s="28"/>
      <c r="C119" s="28"/>
      <c r="D119" s="31"/>
      <c r="E119" s="5" t="s">
        <v>250</v>
      </c>
      <c r="F119" s="3">
        <v>417</v>
      </c>
      <c r="G119" s="26">
        <v>1.08</v>
      </c>
      <c r="H119" s="26"/>
      <c r="I119" s="26"/>
      <c r="J119" s="35">
        <f t="shared" si="5"/>
        <v>450.36</v>
      </c>
      <c r="K119" s="28"/>
      <c r="L119" s="28"/>
      <c r="M119" s="28"/>
    </row>
    <row r="120" spans="1:13" ht="15.2" customHeight="1" thickBot="1" x14ac:dyDescent="0.25">
      <c r="A120" s="28"/>
      <c r="B120" s="28"/>
      <c r="C120" s="28"/>
      <c r="D120" s="31"/>
      <c r="E120" s="5" t="s">
        <v>251</v>
      </c>
      <c r="F120" s="3">
        <v>135</v>
      </c>
      <c r="G120" s="26">
        <v>1.08</v>
      </c>
      <c r="H120" s="26"/>
      <c r="I120" s="26"/>
      <c r="J120" s="35">
        <f t="shared" si="5"/>
        <v>145.80000000000001</v>
      </c>
      <c r="K120" s="28"/>
      <c r="L120" s="28"/>
      <c r="M120" s="28"/>
    </row>
    <row r="121" spans="1:13" ht="15.2" customHeight="1" thickBot="1" x14ac:dyDescent="0.25">
      <c r="A121" s="28"/>
      <c r="B121" s="28"/>
      <c r="C121" s="28"/>
      <c r="D121" s="31"/>
      <c r="E121" s="5" t="s">
        <v>252</v>
      </c>
      <c r="F121" s="3">
        <v>110</v>
      </c>
      <c r="G121" s="26">
        <v>1.08</v>
      </c>
      <c r="H121" s="26"/>
      <c r="I121" s="26"/>
      <c r="J121" s="35">
        <f t="shared" si="5"/>
        <v>118.8</v>
      </c>
      <c r="K121" s="38">
        <f>SUM(J116:J121)</f>
        <v>2296.0800000000004</v>
      </c>
      <c r="L121" s="28"/>
      <c r="M121" s="28"/>
    </row>
    <row r="122" spans="1:13" ht="15.2" customHeight="1" thickBot="1" x14ac:dyDescent="0.25">
      <c r="A122" s="28"/>
      <c r="B122" s="28"/>
      <c r="C122" s="28"/>
      <c r="D122" s="28"/>
      <c r="E122" s="29"/>
      <c r="F122" s="30" t="s">
        <v>253</v>
      </c>
      <c r="G122" s="30" t="s">
        <v>254</v>
      </c>
      <c r="H122" s="30" t="s">
        <v>255</v>
      </c>
      <c r="I122" s="30" t="s">
        <v>256</v>
      </c>
      <c r="J122" s="30" t="s">
        <v>257</v>
      </c>
      <c r="K122" s="30" t="s">
        <v>258</v>
      </c>
      <c r="L122" s="28"/>
      <c r="M122" s="28"/>
    </row>
    <row r="123" spans="1:13" ht="15.2" customHeight="1" thickBot="1" x14ac:dyDescent="0.25">
      <c r="A123" s="28"/>
      <c r="B123" s="28"/>
      <c r="C123" s="28"/>
      <c r="D123" s="31"/>
      <c r="E123" s="32" t="s">
        <v>259</v>
      </c>
      <c r="F123" s="33">
        <v>350</v>
      </c>
      <c r="G123" s="34">
        <v>1.08</v>
      </c>
      <c r="H123" s="34"/>
      <c r="I123" s="34"/>
      <c r="J123" s="36">
        <f>ROUND(F123*G123,3)</f>
        <v>378</v>
      </c>
      <c r="K123" s="37"/>
      <c r="L123" s="28"/>
      <c r="M123" s="28"/>
    </row>
    <row r="124" spans="1:13" ht="15.2" customHeight="1" thickBot="1" x14ac:dyDescent="0.25">
      <c r="A124" s="28"/>
      <c r="B124" s="28"/>
      <c r="C124" s="28"/>
      <c r="D124" s="31"/>
      <c r="E124" s="5" t="s">
        <v>260</v>
      </c>
      <c r="F124" s="3">
        <v>418</v>
      </c>
      <c r="G124" s="26">
        <v>1.08</v>
      </c>
      <c r="H124" s="26"/>
      <c r="I124" s="26"/>
      <c r="J124" s="35">
        <f>ROUND(F124*G124,3)</f>
        <v>451.44</v>
      </c>
      <c r="K124" s="28"/>
      <c r="L124" s="28"/>
      <c r="M124" s="28"/>
    </row>
    <row r="125" spans="1:13" ht="15.2" customHeight="1" thickBot="1" x14ac:dyDescent="0.25">
      <c r="A125" s="28"/>
      <c r="B125" s="28"/>
      <c r="C125" s="28"/>
      <c r="D125" s="31"/>
      <c r="E125" s="5" t="s">
        <v>261</v>
      </c>
      <c r="F125" s="3">
        <v>527</v>
      </c>
      <c r="G125" s="26">
        <v>1.08</v>
      </c>
      <c r="H125" s="26"/>
      <c r="I125" s="26"/>
      <c r="J125" s="35">
        <f>ROUND(F125*G125,3)</f>
        <v>569.16</v>
      </c>
      <c r="K125" s="28"/>
      <c r="L125" s="28"/>
      <c r="M125" s="28"/>
    </row>
    <row r="126" spans="1:13" ht="15.2" customHeight="1" thickBot="1" x14ac:dyDescent="0.25">
      <c r="A126" s="28"/>
      <c r="B126" s="28"/>
      <c r="C126" s="28"/>
      <c r="D126" s="31"/>
      <c r="E126" s="5" t="s">
        <v>262</v>
      </c>
      <c r="F126" s="3">
        <v>596</v>
      </c>
      <c r="G126" s="26">
        <v>1.08</v>
      </c>
      <c r="H126" s="26"/>
      <c r="I126" s="26"/>
      <c r="J126" s="35">
        <f>ROUND(F126*G126,3)</f>
        <v>643.67999999999995</v>
      </c>
      <c r="K126" s="28"/>
      <c r="L126" s="28"/>
      <c r="M126" s="28"/>
    </row>
    <row r="127" spans="1:13" ht="15.2" customHeight="1" thickBot="1" x14ac:dyDescent="0.25">
      <c r="A127" s="28"/>
      <c r="B127" s="28"/>
      <c r="C127" s="28"/>
      <c r="D127" s="31"/>
      <c r="E127" s="5" t="s">
        <v>263</v>
      </c>
      <c r="F127" s="3">
        <v>377</v>
      </c>
      <c r="G127" s="26">
        <v>1.08</v>
      </c>
      <c r="H127" s="26"/>
      <c r="I127" s="26"/>
      <c r="J127" s="35">
        <f>ROUND(F127*G127,3)</f>
        <v>407.16</v>
      </c>
      <c r="K127" s="38">
        <f>SUM(J123:J127)</f>
        <v>2449.4399999999996</v>
      </c>
      <c r="L127" s="28"/>
      <c r="M127" s="28"/>
    </row>
    <row r="128" spans="1:13" ht="15.2" customHeight="1" thickBot="1" x14ac:dyDescent="0.25">
      <c r="A128" s="28"/>
      <c r="B128" s="28"/>
      <c r="C128" s="28"/>
      <c r="D128" s="28"/>
      <c r="E128" s="29"/>
      <c r="F128" s="30" t="s">
        <v>264</v>
      </c>
      <c r="G128" s="30" t="s">
        <v>265</v>
      </c>
      <c r="H128" s="30" t="s">
        <v>266</v>
      </c>
      <c r="I128" s="30" t="s">
        <v>267</v>
      </c>
      <c r="J128" s="30" t="s">
        <v>268</v>
      </c>
      <c r="K128" s="30" t="s">
        <v>269</v>
      </c>
      <c r="L128" s="28"/>
      <c r="M128" s="28"/>
    </row>
    <row r="129" spans="1:13" ht="15.2" customHeight="1" thickBot="1" x14ac:dyDescent="0.25">
      <c r="A129" s="28"/>
      <c r="B129" s="28"/>
      <c r="C129" s="28"/>
      <c r="D129" s="31"/>
      <c r="E129" s="32" t="s">
        <v>270</v>
      </c>
      <c r="F129" s="33">
        <v>697</v>
      </c>
      <c r="G129" s="34">
        <v>1.08</v>
      </c>
      <c r="H129" s="34"/>
      <c r="I129" s="34"/>
      <c r="J129" s="36">
        <f t="shared" ref="J129:J135" si="6">ROUND(F129*G129,3)</f>
        <v>752.76</v>
      </c>
      <c r="K129" s="37"/>
      <c r="L129" s="28"/>
      <c r="M129" s="28"/>
    </row>
    <row r="130" spans="1:13" ht="15.2" customHeight="1" thickBot="1" x14ac:dyDescent="0.25">
      <c r="A130" s="28"/>
      <c r="B130" s="28"/>
      <c r="C130" s="28"/>
      <c r="D130" s="31"/>
      <c r="E130" s="5" t="s">
        <v>271</v>
      </c>
      <c r="F130" s="3">
        <v>93</v>
      </c>
      <c r="G130" s="26">
        <v>1.08</v>
      </c>
      <c r="H130" s="26"/>
      <c r="I130" s="26"/>
      <c r="J130" s="35">
        <f t="shared" si="6"/>
        <v>100.44</v>
      </c>
      <c r="K130" s="28"/>
      <c r="L130" s="28"/>
      <c r="M130" s="28"/>
    </row>
    <row r="131" spans="1:13" ht="15.2" customHeight="1" thickBot="1" x14ac:dyDescent="0.25">
      <c r="A131" s="28"/>
      <c r="B131" s="28"/>
      <c r="C131" s="28"/>
      <c r="D131" s="31"/>
      <c r="E131" s="5" t="s">
        <v>272</v>
      </c>
      <c r="F131" s="3">
        <v>272</v>
      </c>
      <c r="G131" s="26">
        <v>1.08</v>
      </c>
      <c r="H131" s="26"/>
      <c r="I131" s="26"/>
      <c r="J131" s="35">
        <f t="shared" si="6"/>
        <v>293.76</v>
      </c>
      <c r="K131" s="28"/>
      <c r="L131" s="28"/>
      <c r="M131" s="28"/>
    </row>
    <row r="132" spans="1:13" ht="15.2" customHeight="1" thickBot="1" x14ac:dyDescent="0.25">
      <c r="A132" s="28"/>
      <c r="B132" s="28"/>
      <c r="C132" s="28"/>
      <c r="D132" s="31"/>
      <c r="E132" s="5" t="s">
        <v>273</v>
      </c>
      <c r="F132" s="3">
        <v>152</v>
      </c>
      <c r="G132" s="26">
        <v>1.08</v>
      </c>
      <c r="H132" s="26"/>
      <c r="I132" s="26"/>
      <c r="J132" s="35">
        <f t="shared" si="6"/>
        <v>164.16</v>
      </c>
      <c r="K132" s="28"/>
      <c r="L132" s="28"/>
      <c r="M132" s="28"/>
    </row>
    <row r="133" spans="1:13" ht="15.2" customHeight="1" thickBot="1" x14ac:dyDescent="0.25">
      <c r="A133" s="28"/>
      <c r="B133" s="28"/>
      <c r="C133" s="28"/>
      <c r="D133" s="31"/>
      <c r="E133" s="5" t="s">
        <v>274</v>
      </c>
      <c r="F133" s="3">
        <v>449</v>
      </c>
      <c r="G133" s="26">
        <v>1.08</v>
      </c>
      <c r="H133" s="26"/>
      <c r="I133" s="26"/>
      <c r="J133" s="35">
        <f t="shared" si="6"/>
        <v>484.92</v>
      </c>
      <c r="K133" s="28"/>
      <c r="L133" s="28"/>
      <c r="M133" s="28"/>
    </row>
    <row r="134" spans="1:13" ht="15.2" customHeight="1" thickBot="1" x14ac:dyDescent="0.25">
      <c r="A134" s="28"/>
      <c r="B134" s="28"/>
      <c r="C134" s="28"/>
      <c r="D134" s="31"/>
      <c r="E134" s="5" t="s">
        <v>275</v>
      </c>
      <c r="F134" s="3">
        <v>128</v>
      </c>
      <c r="G134" s="26">
        <v>1.08</v>
      </c>
      <c r="H134" s="26"/>
      <c r="I134" s="26"/>
      <c r="J134" s="35">
        <f t="shared" si="6"/>
        <v>138.24</v>
      </c>
      <c r="K134" s="28"/>
      <c r="L134" s="28"/>
      <c r="M134" s="28"/>
    </row>
    <row r="135" spans="1:13" ht="15.2" customHeight="1" thickBot="1" x14ac:dyDescent="0.25">
      <c r="A135" s="28"/>
      <c r="B135" s="28"/>
      <c r="C135" s="28"/>
      <c r="D135" s="31"/>
      <c r="E135" s="5" t="s">
        <v>276</v>
      </c>
      <c r="F135" s="3">
        <v>503</v>
      </c>
      <c r="G135" s="26">
        <v>1.08</v>
      </c>
      <c r="H135" s="26"/>
      <c r="I135" s="26"/>
      <c r="J135" s="35">
        <f t="shared" si="6"/>
        <v>543.24</v>
      </c>
      <c r="K135" s="38">
        <f>SUM(J129:J135)</f>
        <v>2477.5200000000004</v>
      </c>
      <c r="L135" s="28"/>
      <c r="M135" s="28"/>
    </row>
    <row r="136" spans="1:13" ht="15.2" customHeight="1" thickBot="1" x14ac:dyDescent="0.25">
      <c r="A136" s="28"/>
      <c r="B136" s="28"/>
      <c r="C136" s="28"/>
      <c r="D136" s="28"/>
      <c r="E136" s="29"/>
      <c r="F136" s="30" t="s">
        <v>277</v>
      </c>
      <c r="G136" s="30" t="s">
        <v>278</v>
      </c>
      <c r="H136" s="30" t="s">
        <v>279</v>
      </c>
      <c r="I136" s="30" t="s">
        <v>280</v>
      </c>
      <c r="J136" s="30" t="s">
        <v>281</v>
      </c>
      <c r="K136" s="30" t="s">
        <v>282</v>
      </c>
      <c r="L136" s="28"/>
      <c r="M136" s="28"/>
    </row>
    <row r="137" spans="1:13" ht="15.2" customHeight="1" thickBot="1" x14ac:dyDescent="0.25">
      <c r="A137" s="28"/>
      <c r="B137" s="28"/>
      <c r="C137" s="28"/>
      <c r="D137" s="31"/>
      <c r="E137" s="32" t="s">
        <v>283</v>
      </c>
      <c r="F137" s="33">
        <v>150</v>
      </c>
      <c r="G137" s="34">
        <v>1.08</v>
      </c>
      <c r="H137" s="34"/>
      <c r="I137" s="34"/>
      <c r="J137" s="36">
        <f t="shared" ref="J137:J144" si="7">ROUND(F137*G137,3)</f>
        <v>162</v>
      </c>
      <c r="K137" s="37"/>
      <c r="L137" s="28"/>
      <c r="M137" s="28"/>
    </row>
    <row r="138" spans="1:13" ht="15.2" customHeight="1" thickBot="1" x14ac:dyDescent="0.25">
      <c r="A138" s="28"/>
      <c r="B138" s="28"/>
      <c r="C138" s="28"/>
      <c r="D138" s="31"/>
      <c r="E138" s="5" t="s">
        <v>284</v>
      </c>
      <c r="F138" s="3">
        <v>380</v>
      </c>
      <c r="G138" s="26">
        <v>1.08</v>
      </c>
      <c r="H138" s="26"/>
      <c r="I138" s="26"/>
      <c r="J138" s="35">
        <f t="shared" si="7"/>
        <v>410.4</v>
      </c>
      <c r="K138" s="28"/>
      <c r="L138" s="28"/>
      <c r="M138" s="28"/>
    </row>
    <row r="139" spans="1:13" ht="15.2" customHeight="1" thickBot="1" x14ac:dyDescent="0.25">
      <c r="A139" s="28"/>
      <c r="B139" s="28"/>
      <c r="C139" s="28"/>
      <c r="D139" s="31"/>
      <c r="E139" s="5" t="s">
        <v>285</v>
      </c>
      <c r="F139" s="3">
        <v>277</v>
      </c>
      <c r="G139" s="26">
        <v>1.08</v>
      </c>
      <c r="H139" s="26"/>
      <c r="I139" s="26"/>
      <c r="J139" s="35">
        <f t="shared" si="7"/>
        <v>299.16000000000003</v>
      </c>
      <c r="K139" s="28"/>
      <c r="L139" s="28"/>
      <c r="M139" s="28"/>
    </row>
    <row r="140" spans="1:13" ht="15.2" customHeight="1" thickBot="1" x14ac:dyDescent="0.25">
      <c r="A140" s="28"/>
      <c r="B140" s="28"/>
      <c r="C140" s="28"/>
      <c r="D140" s="31"/>
      <c r="E140" s="5" t="s">
        <v>286</v>
      </c>
      <c r="F140" s="3">
        <v>522</v>
      </c>
      <c r="G140" s="26">
        <v>1.08</v>
      </c>
      <c r="H140" s="26"/>
      <c r="I140" s="26"/>
      <c r="J140" s="35">
        <f t="shared" si="7"/>
        <v>563.76</v>
      </c>
      <c r="K140" s="28"/>
      <c r="L140" s="28"/>
      <c r="M140" s="28"/>
    </row>
    <row r="141" spans="1:13" ht="15.2" customHeight="1" thickBot="1" x14ac:dyDescent="0.25">
      <c r="A141" s="28"/>
      <c r="B141" s="28"/>
      <c r="C141" s="28"/>
      <c r="D141" s="31"/>
      <c r="E141" s="5" t="s">
        <v>287</v>
      </c>
      <c r="F141" s="3">
        <v>339</v>
      </c>
      <c r="G141" s="26">
        <v>1.08</v>
      </c>
      <c r="H141" s="26"/>
      <c r="I141" s="26"/>
      <c r="J141" s="35">
        <f t="shared" si="7"/>
        <v>366.12</v>
      </c>
      <c r="K141" s="28"/>
      <c r="L141" s="28"/>
      <c r="M141" s="28"/>
    </row>
    <row r="142" spans="1:13" ht="15.2" customHeight="1" thickBot="1" x14ac:dyDescent="0.25">
      <c r="A142" s="28"/>
      <c r="B142" s="28"/>
      <c r="C142" s="28"/>
      <c r="D142" s="31"/>
      <c r="E142" s="5" t="s">
        <v>288</v>
      </c>
      <c r="F142" s="3">
        <v>395</v>
      </c>
      <c r="G142" s="26">
        <v>1.08</v>
      </c>
      <c r="H142" s="26"/>
      <c r="I142" s="26"/>
      <c r="J142" s="35">
        <f t="shared" si="7"/>
        <v>426.6</v>
      </c>
      <c r="K142" s="28"/>
      <c r="L142" s="28"/>
      <c r="M142" s="28"/>
    </row>
    <row r="143" spans="1:13" ht="15.2" customHeight="1" thickBot="1" x14ac:dyDescent="0.25">
      <c r="A143" s="28"/>
      <c r="B143" s="28"/>
      <c r="C143" s="28"/>
      <c r="D143" s="31"/>
      <c r="E143" s="5" t="s">
        <v>289</v>
      </c>
      <c r="F143" s="3">
        <v>357</v>
      </c>
      <c r="G143" s="26">
        <v>1.08</v>
      </c>
      <c r="H143" s="26"/>
      <c r="I143" s="26"/>
      <c r="J143" s="35">
        <f t="shared" si="7"/>
        <v>385.56</v>
      </c>
      <c r="K143" s="28"/>
      <c r="L143" s="28"/>
      <c r="M143" s="28"/>
    </row>
    <row r="144" spans="1:13" ht="15.2" customHeight="1" thickBot="1" x14ac:dyDescent="0.25">
      <c r="A144" s="28"/>
      <c r="B144" s="28"/>
      <c r="C144" s="28"/>
      <c r="D144" s="31"/>
      <c r="E144" s="5" t="s">
        <v>290</v>
      </c>
      <c r="F144" s="3">
        <v>433</v>
      </c>
      <c r="G144" s="26">
        <v>1.08</v>
      </c>
      <c r="H144" s="26"/>
      <c r="I144" s="26"/>
      <c r="J144" s="35">
        <f t="shared" si="7"/>
        <v>467.64</v>
      </c>
      <c r="K144" s="38">
        <f>SUM(J137:J144)</f>
        <v>3081.24</v>
      </c>
      <c r="L144" s="28"/>
      <c r="M144" s="28"/>
    </row>
    <row r="145" spans="1:13" ht="15.4" customHeight="1" thickBot="1" x14ac:dyDescent="0.25">
      <c r="A145" s="39"/>
      <c r="B145" s="39"/>
      <c r="C145" s="39"/>
      <c r="D145" s="60" t="s">
        <v>291</v>
      </c>
      <c r="E145" s="61"/>
      <c r="F145" s="61"/>
      <c r="G145" s="61"/>
      <c r="H145" s="61"/>
      <c r="I145" s="61"/>
      <c r="J145" s="61"/>
      <c r="K145" s="61"/>
      <c r="L145" s="62">
        <f>M54+M58+M69+M107</f>
        <v>110426.03</v>
      </c>
      <c r="M145" s="62">
        <f>ROUND(L145,2)</f>
        <v>110426.03</v>
      </c>
    </row>
    <row r="146" spans="1:13" ht="15.4" customHeight="1" thickBot="1" x14ac:dyDescent="0.25">
      <c r="A146" s="57" t="s">
        <v>292</v>
      </c>
      <c r="B146" s="57" t="s">
        <v>293</v>
      </c>
      <c r="C146" s="58"/>
      <c r="D146" s="83" t="s">
        <v>294</v>
      </c>
      <c r="E146" s="83"/>
      <c r="F146" s="83"/>
      <c r="G146" s="83"/>
      <c r="H146" s="83"/>
      <c r="I146" s="83"/>
      <c r="J146" s="83"/>
      <c r="K146" s="58"/>
      <c r="L146" s="59">
        <f>L158</f>
        <v>14515.13</v>
      </c>
      <c r="M146" s="59">
        <f>ROUND(L146,2)</f>
        <v>14515.13</v>
      </c>
    </row>
    <row r="147" spans="1:13" ht="30.6" customHeight="1" thickBot="1" x14ac:dyDescent="0.25">
      <c r="A147" s="10" t="s">
        <v>295</v>
      </c>
      <c r="B147" s="5" t="s">
        <v>296</v>
      </c>
      <c r="C147" s="5" t="s">
        <v>297</v>
      </c>
      <c r="D147" s="81" t="s">
        <v>298</v>
      </c>
      <c r="E147" s="81"/>
      <c r="F147" s="81"/>
      <c r="G147" s="81"/>
      <c r="H147" s="81"/>
      <c r="I147" s="81"/>
      <c r="J147" s="81"/>
      <c r="K147" s="26">
        <f>SUM(K150:K157)</f>
        <v>217</v>
      </c>
      <c r="L147" s="27">
        <f>ROUND(64.94*(1+M2/100),2)</f>
        <v>66.89</v>
      </c>
      <c r="M147" s="27">
        <f>ROUND(K147*L147,2)</f>
        <v>14515.13</v>
      </c>
    </row>
    <row r="148" spans="1:13" ht="21.4" customHeight="1" thickBot="1" x14ac:dyDescent="0.25">
      <c r="A148" s="28"/>
      <c r="B148" s="28"/>
      <c r="C148" s="28"/>
      <c r="D148" s="81" t="s">
        <v>299</v>
      </c>
      <c r="E148" s="81"/>
      <c r="F148" s="81"/>
      <c r="G148" s="81"/>
      <c r="H148" s="81"/>
      <c r="I148" s="81"/>
      <c r="J148" s="81"/>
      <c r="K148" s="81"/>
      <c r="L148" s="81"/>
      <c r="M148" s="81"/>
    </row>
    <row r="149" spans="1:13" ht="15.2" customHeight="1" thickBot="1" x14ac:dyDescent="0.25">
      <c r="A149" s="28"/>
      <c r="B149" s="28"/>
      <c r="C149" s="28"/>
      <c r="D149" s="28"/>
      <c r="E149" s="29" t="s">
        <v>300</v>
      </c>
      <c r="F149" s="30" t="s">
        <v>301</v>
      </c>
      <c r="G149" s="30" t="s">
        <v>302</v>
      </c>
      <c r="H149" s="30" t="s">
        <v>303</v>
      </c>
      <c r="I149" s="30" t="s">
        <v>304</v>
      </c>
      <c r="J149" s="30" t="s">
        <v>305</v>
      </c>
      <c r="K149" s="30" t="s">
        <v>306</v>
      </c>
      <c r="L149" s="28"/>
      <c r="M149" s="28"/>
    </row>
    <row r="150" spans="1:13" ht="15.2" customHeight="1" thickBot="1" x14ac:dyDescent="0.25">
      <c r="A150" s="28"/>
      <c r="B150" s="28"/>
      <c r="C150" s="28"/>
      <c r="D150" s="31"/>
      <c r="E150" s="32" t="s">
        <v>307</v>
      </c>
      <c r="F150" s="33">
        <v>51</v>
      </c>
      <c r="G150" s="34"/>
      <c r="H150" s="34"/>
      <c r="I150" s="34"/>
      <c r="J150" s="36">
        <f>ROUND(F150,3)</f>
        <v>51</v>
      </c>
      <c r="K150" s="37"/>
      <c r="L150" s="28"/>
      <c r="M150" s="28"/>
    </row>
    <row r="151" spans="1:13" ht="15.2" customHeight="1" thickBot="1" x14ac:dyDescent="0.25">
      <c r="A151" s="28"/>
      <c r="B151" s="28"/>
      <c r="C151" s="28"/>
      <c r="D151" s="31"/>
      <c r="E151" s="5" t="s">
        <v>308</v>
      </c>
      <c r="F151" s="3">
        <v>45</v>
      </c>
      <c r="G151" s="26"/>
      <c r="H151" s="26"/>
      <c r="I151" s="26"/>
      <c r="J151" s="35">
        <f>ROUND(F151,3)</f>
        <v>45</v>
      </c>
      <c r="K151" s="28"/>
      <c r="L151" s="28"/>
      <c r="M151" s="28"/>
    </row>
    <row r="152" spans="1:13" ht="15.2" customHeight="1" thickBot="1" x14ac:dyDescent="0.25">
      <c r="A152" s="28"/>
      <c r="B152" s="28"/>
      <c r="C152" s="28"/>
      <c r="D152" s="31"/>
      <c r="E152" s="5" t="s">
        <v>309</v>
      </c>
      <c r="F152" s="3">
        <v>47</v>
      </c>
      <c r="G152" s="26"/>
      <c r="H152" s="26"/>
      <c r="I152" s="26"/>
      <c r="J152" s="35">
        <f>ROUND(F152,3)</f>
        <v>47</v>
      </c>
      <c r="K152" s="28"/>
      <c r="L152" s="28"/>
      <c r="M152" s="28"/>
    </row>
    <row r="153" spans="1:13" ht="15.2" customHeight="1" thickBot="1" x14ac:dyDescent="0.25">
      <c r="A153" s="28"/>
      <c r="B153" s="28"/>
      <c r="C153" s="28"/>
      <c r="D153" s="31"/>
      <c r="E153" s="5" t="s">
        <v>310</v>
      </c>
      <c r="F153" s="3">
        <v>33</v>
      </c>
      <c r="G153" s="26"/>
      <c r="H153" s="26"/>
      <c r="I153" s="26"/>
      <c r="J153" s="35">
        <f>ROUND(F153,3)</f>
        <v>33</v>
      </c>
      <c r="K153" s="28"/>
      <c r="L153" s="28"/>
      <c r="M153" s="28"/>
    </row>
    <row r="154" spans="1:13" ht="15.2" customHeight="1" thickBot="1" x14ac:dyDescent="0.25">
      <c r="A154" s="28"/>
      <c r="B154" s="28"/>
      <c r="C154" s="28"/>
      <c r="D154" s="31"/>
      <c r="E154" s="5" t="s">
        <v>311</v>
      </c>
      <c r="F154" s="3">
        <v>36</v>
      </c>
      <c r="G154" s="26"/>
      <c r="H154" s="26"/>
      <c r="I154" s="26"/>
      <c r="J154" s="35">
        <f>ROUND(F154,3)</f>
        <v>36</v>
      </c>
      <c r="K154" s="38">
        <f>SUM(J150:J154)</f>
        <v>212</v>
      </c>
      <c r="L154" s="28"/>
      <c r="M154" s="28"/>
    </row>
    <row r="155" spans="1:13" ht="15.2" customHeight="1" thickBot="1" x14ac:dyDescent="0.25">
      <c r="A155" s="28"/>
      <c r="B155" s="28"/>
      <c r="C155" s="28"/>
      <c r="D155" s="28"/>
      <c r="E155" s="29" t="s">
        <v>312</v>
      </c>
      <c r="F155" s="30" t="s">
        <v>313</v>
      </c>
      <c r="G155" s="30" t="s">
        <v>314</v>
      </c>
      <c r="H155" s="30" t="s">
        <v>315</v>
      </c>
      <c r="I155" s="30" t="s">
        <v>316</v>
      </c>
      <c r="J155" s="30" t="s">
        <v>317</v>
      </c>
      <c r="K155" s="30" t="s">
        <v>318</v>
      </c>
      <c r="L155" s="28"/>
      <c r="M155" s="28"/>
    </row>
    <row r="156" spans="1:13" ht="15.2" customHeight="1" thickBot="1" x14ac:dyDescent="0.25">
      <c r="A156" s="28"/>
      <c r="B156" s="28"/>
      <c r="C156" s="28"/>
      <c r="D156" s="31"/>
      <c r="E156" s="32" t="s">
        <v>319</v>
      </c>
      <c r="F156" s="33">
        <v>2</v>
      </c>
      <c r="G156" s="34"/>
      <c r="H156" s="34"/>
      <c r="I156" s="34"/>
      <c r="J156" s="36">
        <f>ROUND(F156,3)</f>
        <v>2</v>
      </c>
      <c r="K156" s="37"/>
      <c r="L156" s="28"/>
      <c r="M156" s="28"/>
    </row>
    <row r="157" spans="1:13" ht="15.2" customHeight="1" thickBot="1" x14ac:dyDescent="0.25">
      <c r="A157" s="28"/>
      <c r="B157" s="28"/>
      <c r="C157" s="28"/>
      <c r="D157" s="31"/>
      <c r="E157" s="5" t="s">
        <v>320</v>
      </c>
      <c r="F157" s="3">
        <v>3</v>
      </c>
      <c r="G157" s="26"/>
      <c r="H157" s="26"/>
      <c r="I157" s="26"/>
      <c r="J157" s="35">
        <f>ROUND(F157,3)</f>
        <v>3</v>
      </c>
      <c r="K157" s="38">
        <f>SUM(J156:J157)</f>
        <v>5</v>
      </c>
      <c r="L157" s="28"/>
      <c r="M157" s="28"/>
    </row>
    <row r="158" spans="1:13" ht="15.4" customHeight="1" thickBot="1" x14ac:dyDescent="0.25">
      <c r="A158" s="39"/>
      <c r="B158" s="39"/>
      <c r="C158" s="39"/>
      <c r="D158" s="60" t="s">
        <v>321</v>
      </c>
      <c r="E158" s="61"/>
      <c r="F158" s="61"/>
      <c r="G158" s="61"/>
      <c r="H158" s="61"/>
      <c r="I158" s="61"/>
      <c r="J158" s="61"/>
      <c r="K158" s="61"/>
      <c r="L158" s="62">
        <f>M147</f>
        <v>14515.13</v>
      </c>
      <c r="M158" s="62">
        <f>ROUND(L158,2)</f>
        <v>14515.13</v>
      </c>
    </row>
    <row r="159" spans="1:13" ht="15.4" customHeight="1" thickBot="1" x14ac:dyDescent="0.25">
      <c r="A159" s="57" t="s">
        <v>322</v>
      </c>
      <c r="B159" s="57" t="s">
        <v>323</v>
      </c>
      <c r="C159" s="58"/>
      <c r="D159" s="83" t="s">
        <v>324</v>
      </c>
      <c r="E159" s="83"/>
      <c r="F159" s="83"/>
      <c r="G159" s="83"/>
      <c r="H159" s="83"/>
      <c r="I159" s="83"/>
      <c r="J159" s="83"/>
      <c r="K159" s="58"/>
      <c r="L159" s="59">
        <f>L188</f>
        <v>240.73999999999998</v>
      </c>
      <c r="M159" s="59">
        <f>ROUND(L159,2)</f>
        <v>240.74</v>
      </c>
    </row>
    <row r="160" spans="1:13" ht="15.4" customHeight="1" thickBot="1" x14ac:dyDescent="0.25">
      <c r="A160" s="10" t="s">
        <v>325</v>
      </c>
      <c r="B160" s="5" t="s">
        <v>326</v>
      </c>
      <c r="C160" s="5" t="s">
        <v>327</v>
      </c>
      <c r="D160" s="81" t="s">
        <v>328</v>
      </c>
      <c r="E160" s="81"/>
      <c r="F160" s="81"/>
      <c r="G160" s="81"/>
      <c r="H160" s="81"/>
      <c r="I160" s="81"/>
      <c r="J160" s="81"/>
      <c r="K160" s="26">
        <f>SUM(K163:K163)</f>
        <v>0.25</v>
      </c>
      <c r="L160" s="27">
        <f>ROUND(61.9*(1+M2/100),2)</f>
        <v>63.76</v>
      </c>
      <c r="M160" s="27">
        <f>ROUND(K160*L160,2)</f>
        <v>15.94</v>
      </c>
    </row>
    <row r="161" spans="1:13" ht="12.2" customHeight="1" thickBot="1" x14ac:dyDescent="0.25">
      <c r="A161" s="28"/>
      <c r="B161" s="28"/>
      <c r="C161" s="28"/>
      <c r="D161" s="81" t="s">
        <v>329</v>
      </c>
      <c r="E161" s="81"/>
      <c r="F161" s="81"/>
      <c r="G161" s="81"/>
      <c r="H161" s="81"/>
      <c r="I161" s="81"/>
      <c r="J161" s="81"/>
      <c r="K161" s="81"/>
      <c r="L161" s="81"/>
      <c r="M161" s="81"/>
    </row>
    <row r="162" spans="1:13" ht="15.2" customHeight="1" thickBot="1" x14ac:dyDescent="0.25">
      <c r="A162" s="28"/>
      <c r="B162" s="28"/>
      <c r="C162" s="28"/>
      <c r="D162" s="28"/>
      <c r="E162" s="29"/>
      <c r="F162" s="30" t="s">
        <v>330</v>
      </c>
      <c r="G162" s="30" t="s">
        <v>331</v>
      </c>
      <c r="H162" s="30" t="s">
        <v>332</v>
      </c>
      <c r="I162" s="30" t="s">
        <v>333</v>
      </c>
      <c r="J162" s="30" t="s">
        <v>334</v>
      </c>
      <c r="K162" s="30" t="s">
        <v>335</v>
      </c>
      <c r="L162" s="28"/>
      <c r="M162" s="28"/>
    </row>
    <row r="163" spans="1:13" ht="15.2" customHeight="1" thickBot="1" x14ac:dyDescent="0.25">
      <c r="A163" s="28"/>
      <c r="B163" s="28"/>
      <c r="C163" s="28"/>
      <c r="D163" s="31"/>
      <c r="E163" s="32" t="s">
        <v>336</v>
      </c>
      <c r="F163" s="33">
        <v>0.25</v>
      </c>
      <c r="G163" s="34"/>
      <c r="H163" s="34"/>
      <c r="I163" s="34"/>
      <c r="J163" s="36">
        <f>ROUND(F163,3)</f>
        <v>0.25</v>
      </c>
      <c r="K163" s="53">
        <f>SUM(J163:J163)</f>
        <v>0.25</v>
      </c>
      <c r="L163" s="28"/>
      <c r="M163" s="28"/>
    </row>
    <row r="164" spans="1:13" ht="15.4" customHeight="1" thickBot="1" x14ac:dyDescent="0.25">
      <c r="A164" s="10" t="s">
        <v>337</v>
      </c>
      <c r="B164" s="5" t="s">
        <v>338</v>
      </c>
      <c r="C164" s="5" t="s">
        <v>339</v>
      </c>
      <c r="D164" s="81" t="s">
        <v>340</v>
      </c>
      <c r="E164" s="81"/>
      <c r="F164" s="81"/>
      <c r="G164" s="81"/>
      <c r="H164" s="81"/>
      <c r="I164" s="81"/>
      <c r="J164" s="81"/>
      <c r="K164" s="26">
        <f>SUM(K167:K167)</f>
        <v>0.25</v>
      </c>
      <c r="L164" s="27">
        <f>ROUND(60.33*(1+M2/100),2)</f>
        <v>62.14</v>
      </c>
      <c r="M164" s="27">
        <f>ROUND(K164*L164,2)</f>
        <v>15.54</v>
      </c>
    </row>
    <row r="165" spans="1:13" ht="12.2" customHeight="1" thickBot="1" x14ac:dyDescent="0.25">
      <c r="A165" s="28"/>
      <c r="B165" s="28"/>
      <c r="C165" s="28"/>
      <c r="D165" s="81" t="s">
        <v>341</v>
      </c>
      <c r="E165" s="81"/>
      <c r="F165" s="81"/>
      <c r="G165" s="81"/>
      <c r="H165" s="81"/>
      <c r="I165" s="81"/>
      <c r="J165" s="81"/>
      <c r="K165" s="81"/>
      <c r="L165" s="81"/>
      <c r="M165" s="81"/>
    </row>
    <row r="166" spans="1:13" ht="15.2" customHeight="1" thickBot="1" x14ac:dyDescent="0.25">
      <c r="A166" s="28"/>
      <c r="B166" s="28"/>
      <c r="C166" s="28"/>
      <c r="D166" s="28"/>
      <c r="E166" s="29"/>
      <c r="F166" s="30" t="s">
        <v>342</v>
      </c>
      <c r="G166" s="30" t="s">
        <v>343</v>
      </c>
      <c r="H166" s="30" t="s">
        <v>344</v>
      </c>
      <c r="I166" s="30" t="s">
        <v>345</v>
      </c>
      <c r="J166" s="30" t="s">
        <v>346</v>
      </c>
      <c r="K166" s="30" t="s">
        <v>347</v>
      </c>
      <c r="L166" s="28"/>
      <c r="M166" s="28"/>
    </row>
    <row r="167" spans="1:13" ht="15.2" customHeight="1" thickBot="1" x14ac:dyDescent="0.25">
      <c r="A167" s="28"/>
      <c r="B167" s="28"/>
      <c r="C167" s="28"/>
      <c r="D167" s="31"/>
      <c r="E167" s="32" t="s">
        <v>348</v>
      </c>
      <c r="F167" s="33">
        <v>0.25</v>
      </c>
      <c r="G167" s="34"/>
      <c r="H167" s="34"/>
      <c r="I167" s="34"/>
      <c r="J167" s="36">
        <f>ROUND(F167,3)</f>
        <v>0.25</v>
      </c>
      <c r="K167" s="53">
        <f>SUM(J167:J167)</f>
        <v>0.25</v>
      </c>
      <c r="L167" s="28"/>
      <c r="M167" s="28"/>
    </row>
    <row r="168" spans="1:13" ht="15.4" customHeight="1" thickBot="1" x14ac:dyDescent="0.25">
      <c r="A168" s="10" t="s">
        <v>349</v>
      </c>
      <c r="B168" s="5" t="s">
        <v>350</v>
      </c>
      <c r="C168" s="5" t="s">
        <v>351</v>
      </c>
      <c r="D168" s="81" t="s">
        <v>352</v>
      </c>
      <c r="E168" s="81"/>
      <c r="F168" s="81"/>
      <c r="G168" s="81"/>
      <c r="H168" s="81"/>
      <c r="I168" s="81"/>
      <c r="J168" s="81"/>
      <c r="K168" s="26">
        <f>SUM(K171:K171)</f>
        <v>50</v>
      </c>
      <c r="L168" s="27">
        <f>ROUND(1.81*(1+M2/100),2)</f>
        <v>1.86</v>
      </c>
      <c r="M168" s="27">
        <f>ROUND(K168*L168,2)</f>
        <v>93</v>
      </c>
    </row>
    <row r="169" spans="1:13" ht="12.2" customHeight="1" thickBot="1" x14ac:dyDescent="0.25">
      <c r="A169" s="28"/>
      <c r="B169" s="28"/>
      <c r="C169" s="28"/>
      <c r="D169" s="81" t="s">
        <v>353</v>
      </c>
      <c r="E169" s="81"/>
      <c r="F169" s="81"/>
      <c r="G169" s="81"/>
      <c r="H169" s="81"/>
      <c r="I169" s="81"/>
      <c r="J169" s="81"/>
      <c r="K169" s="81"/>
      <c r="L169" s="81"/>
      <c r="M169" s="81"/>
    </row>
    <row r="170" spans="1:13" ht="15.2" customHeight="1" thickBot="1" x14ac:dyDescent="0.25">
      <c r="A170" s="28"/>
      <c r="B170" s="28"/>
      <c r="C170" s="28"/>
      <c r="D170" s="28"/>
      <c r="E170" s="29"/>
      <c r="F170" s="30" t="s">
        <v>354</v>
      </c>
      <c r="G170" s="30" t="s">
        <v>355</v>
      </c>
      <c r="H170" s="30" t="s">
        <v>356</v>
      </c>
      <c r="I170" s="30" t="s">
        <v>357</v>
      </c>
      <c r="J170" s="30" t="s">
        <v>358</v>
      </c>
      <c r="K170" s="30" t="s">
        <v>359</v>
      </c>
      <c r="L170" s="28"/>
      <c r="M170" s="28"/>
    </row>
    <row r="171" spans="1:13" ht="15.2" customHeight="1" thickBot="1" x14ac:dyDescent="0.25">
      <c r="A171" s="28"/>
      <c r="B171" s="28"/>
      <c r="C171" s="28"/>
      <c r="D171" s="31"/>
      <c r="E171" s="32" t="s">
        <v>360</v>
      </c>
      <c r="F171" s="33">
        <v>1</v>
      </c>
      <c r="G171" s="34">
        <v>50</v>
      </c>
      <c r="H171" s="34"/>
      <c r="I171" s="34"/>
      <c r="J171" s="36">
        <f>ROUND(F171*G171,3)</f>
        <v>50</v>
      </c>
      <c r="K171" s="53">
        <f>SUM(J171:J171)</f>
        <v>50</v>
      </c>
      <c r="L171" s="28"/>
      <c r="M171" s="28"/>
    </row>
    <row r="172" spans="1:13" ht="15.4" customHeight="1" thickBot="1" x14ac:dyDescent="0.25">
      <c r="A172" s="10" t="s">
        <v>361</v>
      </c>
      <c r="B172" s="5" t="s">
        <v>362</v>
      </c>
      <c r="C172" s="5" t="s">
        <v>363</v>
      </c>
      <c r="D172" s="81" t="s">
        <v>364</v>
      </c>
      <c r="E172" s="81"/>
      <c r="F172" s="81"/>
      <c r="G172" s="81"/>
      <c r="H172" s="81"/>
      <c r="I172" s="81"/>
      <c r="J172" s="81"/>
      <c r="K172" s="26">
        <f>SUM(K175:K175)</f>
        <v>4</v>
      </c>
      <c r="L172" s="27">
        <f>ROUND(10.94*(1+M2/100),2)</f>
        <v>11.27</v>
      </c>
      <c r="M172" s="27">
        <f>ROUND(K172*L172,2)</f>
        <v>45.08</v>
      </c>
    </row>
    <row r="173" spans="1:13" ht="12.2" customHeight="1" thickBot="1" x14ac:dyDescent="0.25">
      <c r="A173" s="28"/>
      <c r="B173" s="28"/>
      <c r="C173" s="28"/>
      <c r="D173" s="81" t="s">
        <v>365</v>
      </c>
      <c r="E173" s="81"/>
      <c r="F173" s="81"/>
      <c r="G173" s="81"/>
      <c r="H173" s="81"/>
      <c r="I173" s="81"/>
      <c r="J173" s="81"/>
      <c r="K173" s="81"/>
      <c r="L173" s="81"/>
      <c r="M173" s="81"/>
    </row>
    <row r="174" spans="1:13" ht="15.2" customHeight="1" thickBot="1" x14ac:dyDescent="0.25">
      <c r="A174" s="28"/>
      <c r="B174" s="28"/>
      <c r="C174" s="28"/>
      <c r="D174" s="28"/>
      <c r="E174" s="29"/>
      <c r="F174" s="30" t="s">
        <v>366</v>
      </c>
      <c r="G174" s="30"/>
      <c r="H174" s="30"/>
      <c r="I174" s="30"/>
      <c r="J174" s="30" t="s">
        <v>367</v>
      </c>
      <c r="K174" s="30" t="s">
        <v>368</v>
      </c>
      <c r="L174" s="28"/>
      <c r="M174" s="28"/>
    </row>
    <row r="175" spans="1:13" ht="15.2" customHeight="1" thickBot="1" x14ac:dyDescent="0.25">
      <c r="A175" s="28"/>
      <c r="B175" s="28"/>
      <c r="C175" s="28"/>
      <c r="D175" s="31" t="s">
        <v>369</v>
      </c>
      <c r="E175" s="32" t="s">
        <v>370</v>
      </c>
      <c r="F175" s="33">
        <v>4</v>
      </c>
      <c r="G175" s="34"/>
      <c r="H175" s="34"/>
      <c r="I175" s="34"/>
      <c r="J175" s="36">
        <f>ROUND(F175,3)</f>
        <v>4</v>
      </c>
      <c r="K175" s="53">
        <f>SUM(J175:J175)</f>
        <v>4</v>
      </c>
      <c r="L175" s="28"/>
      <c r="M175" s="28"/>
    </row>
    <row r="176" spans="1:13" ht="15.4" customHeight="1" thickBot="1" x14ac:dyDescent="0.25">
      <c r="A176" s="10" t="s">
        <v>371</v>
      </c>
      <c r="B176" s="5" t="s">
        <v>372</v>
      </c>
      <c r="C176" s="5" t="s">
        <v>373</v>
      </c>
      <c r="D176" s="81" t="s">
        <v>374</v>
      </c>
      <c r="E176" s="81"/>
      <c r="F176" s="81"/>
      <c r="G176" s="81"/>
      <c r="H176" s="81"/>
      <c r="I176" s="81"/>
      <c r="J176" s="81"/>
      <c r="K176" s="26">
        <f>SUM(K179:K179)</f>
        <v>2</v>
      </c>
      <c r="L176" s="27">
        <f>ROUND(7.24*(1+M2/100),2)</f>
        <v>7.46</v>
      </c>
      <c r="M176" s="27">
        <f>ROUND(K176*L176,2)</f>
        <v>14.92</v>
      </c>
    </row>
    <row r="177" spans="1:13" ht="12.2" customHeight="1" thickBot="1" x14ac:dyDescent="0.25">
      <c r="A177" s="28"/>
      <c r="B177" s="28"/>
      <c r="C177" s="28"/>
      <c r="D177" s="81" t="s">
        <v>375</v>
      </c>
      <c r="E177" s="81"/>
      <c r="F177" s="81"/>
      <c r="G177" s="81"/>
      <c r="H177" s="81"/>
      <c r="I177" s="81"/>
      <c r="J177" s="81"/>
      <c r="K177" s="81"/>
      <c r="L177" s="81"/>
      <c r="M177" s="81"/>
    </row>
    <row r="178" spans="1:13" ht="15.2" customHeight="1" thickBot="1" x14ac:dyDescent="0.25">
      <c r="A178" s="28"/>
      <c r="B178" s="28"/>
      <c r="C178" s="28"/>
      <c r="D178" s="28"/>
      <c r="E178" s="29"/>
      <c r="F178" s="30" t="s">
        <v>376</v>
      </c>
      <c r="G178" s="30"/>
      <c r="H178" s="30"/>
      <c r="I178" s="30"/>
      <c r="J178" s="30" t="s">
        <v>377</v>
      </c>
      <c r="K178" s="30" t="s">
        <v>378</v>
      </c>
      <c r="L178" s="28"/>
      <c r="M178" s="28"/>
    </row>
    <row r="179" spans="1:13" ht="15.2" customHeight="1" thickBot="1" x14ac:dyDescent="0.25">
      <c r="A179" s="28"/>
      <c r="B179" s="28"/>
      <c r="C179" s="28"/>
      <c r="D179" s="31" t="s">
        <v>379</v>
      </c>
      <c r="E179" s="32"/>
      <c r="F179" s="33">
        <v>2</v>
      </c>
      <c r="G179" s="34"/>
      <c r="H179" s="34"/>
      <c r="I179" s="34"/>
      <c r="J179" s="36">
        <f>ROUND(F179,3)</f>
        <v>2</v>
      </c>
      <c r="K179" s="53">
        <f>SUM(J179:J179)</f>
        <v>2</v>
      </c>
      <c r="L179" s="28"/>
      <c r="M179" s="28"/>
    </row>
    <row r="180" spans="1:13" ht="15.4" customHeight="1" thickBot="1" x14ac:dyDescent="0.25">
      <c r="A180" s="10" t="s">
        <v>380</v>
      </c>
      <c r="B180" s="5" t="s">
        <v>381</v>
      </c>
      <c r="C180" s="5" t="s">
        <v>382</v>
      </c>
      <c r="D180" s="81" t="s">
        <v>383</v>
      </c>
      <c r="E180" s="81"/>
      <c r="F180" s="81"/>
      <c r="G180" s="81"/>
      <c r="H180" s="81"/>
      <c r="I180" s="81"/>
      <c r="J180" s="81"/>
      <c r="K180" s="26">
        <f>ROUND(0.25,2)</f>
        <v>0.25</v>
      </c>
      <c r="L180" s="27">
        <f>ROUND(4.34*(1+M2/100),2)</f>
        <v>4.47</v>
      </c>
      <c r="M180" s="27">
        <f>ROUND(K180*L180,2)</f>
        <v>1.1200000000000001</v>
      </c>
    </row>
    <row r="181" spans="1:13" ht="21.4" customHeight="1" thickBot="1" x14ac:dyDescent="0.25">
      <c r="A181" s="28"/>
      <c r="B181" s="28"/>
      <c r="C181" s="28"/>
      <c r="D181" s="81" t="s">
        <v>384</v>
      </c>
      <c r="E181" s="81"/>
      <c r="F181" s="81"/>
      <c r="G181" s="81"/>
      <c r="H181" s="81"/>
      <c r="I181" s="81"/>
      <c r="J181" s="81"/>
      <c r="K181" s="81"/>
      <c r="L181" s="81"/>
      <c r="M181" s="81"/>
    </row>
    <row r="182" spans="1:13" ht="15.4" customHeight="1" thickBot="1" x14ac:dyDescent="0.25">
      <c r="A182" s="10" t="s">
        <v>385</v>
      </c>
      <c r="B182" s="5" t="s">
        <v>386</v>
      </c>
      <c r="C182" s="5" t="s">
        <v>387</v>
      </c>
      <c r="D182" s="81" t="s">
        <v>388</v>
      </c>
      <c r="E182" s="81"/>
      <c r="F182" s="81"/>
      <c r="G182" s="81"/>
      <c r="H182" s="81"/>
      <c r="I182" s="81"/>
      <c r="J182" s="81"/>
      <c r="K182" s="26">
        <f>ROUND(0.25,2)</f>
        <v>0.25</v>
      </c>
      <c r="L182" s="27">
        <f>ROUND(0.88*(1+M2/100),2)</f>
        <v>0.91</v>
      </c>
      <c r="M182" s="27">
        <f>ROUND(K182*L182,2)</f>
        <v>0.23</v>
      </c>
    </row>
    <row r="183" spans="1:13" ht="12.2" customHeight="1" thickBot="1" x14ac:dyDescent="0.25">
      <c r="A183" s="28"/>
      <c r="B183" s="28"/>
      <c r="C183" s="28"/>
      <c r="D183" s="81" t="s">
        <v>389</v>
      </c>
      <c r="E183" s="81"/>
      <c r="F183" s="81"/>
      <c r="G183" s="81"/>
      <c r="H183" s="81"/>
      <c r="I183" s="81"/>
      <c r="J183" s="81"/>
      <c r="K183" s="81"/>
      <c r="L183" s="81"/>
      <c r="M183" s="81"/>
    </row>
    <row r="184" spans="1:13" ht="15.4" customHeight="1" thickBot="1" x14ac:dyDescent="0.25">
      <c r="A184" s="10" t="s">
        <v>390</v>
      </c>
      <c r="B184" s="5" t="s">
        <v>391</v>
      </c>
      <c r="C184" s="5" t="s">
        <v>392</v>
      </c>
      <c r="D184" s="81" t="s">
        <v>393</v>
      </c>
      <c r="E184" s="81"/>
      <c r="F184" s="81"/>
      <c r="G184" s="81"/>
      <c r="H184" s="81"/>
      <c r="I184" s="81"/>
      <c r="J184" s="81"/>
      <c r="K184" s="26">
        <f>ROUND(0.25,2)</f>
        <v>0.25</v>
      </c>
      <c r="L184" s="27">
        <f>ROUND(4.11*(1+M2/100),2)</f>
        <v>4.2300000000000004</v>
      </c>
      <c r="M184" s="27">
        <f>ROUND(K184*L184,2)</f>
        <v>1.06</v>
      </c>
    </row>
    <row r="185" spans="1:13" ht="21.4" customHeight="1" thickBot="1" x14ac:dyDescent="0.25">
      <c r="A185" s="28"/>
      <c r="B185" s="28"/>
      <c r="C185" s="28"/>
      <c r="D185" s="81" t="s">
        <v>394</v>
      </c>
      <c r="E185" s="81"/>
      <c r="F185" s="81"/>
      <c r="G185" s="81"/>
      <c r="H185" s="81"/>
      <c r="I185" s="81"/>
      <c r="J185" s="81"/>
      <c r="K185" s="81"/>
      <c r="L185" s="81"/>
      <c r="M185" s="81"/>
    </row>
    <row r="186" spans="1:13" ht="15.4" customHeight="1" thickBot="1" x14ac:dyDescent="0.25">
      <c r="A186" s="10" t="s">
        <v>395</v>
      </c>
      <c r="B186" s="5" t="s">
        <v>396</v>
      </c>
      <c r="C186" s="5" t="s">
        <v>397</v>
      </c>
      <c r="D186" s="81" t="s">
        <v>398</v>
      </c>
      <c r="E186" s="81"/>
      <c r="F186" s="81"/>
      <c r="G186" s="81"/>
      <c r="H186" s="81"/>
      <c r="I186" s="81"/>
      <c r="J186" s="81"/>
      <c r="K186" s="26">
        <f>ROUND(1,2)</f>
        <v>1</v>
      </c>
      <c r="L186" s="27">
        <f>ROUND(52.28*(1+M2/100),2)</f>
        <v>53.85</v>
      </c>
      <c r="M186" s="27">
        <f>ROUND(K186*L186,2)</f>
        <v>53.85</v>
      </c>
    </row>
    <row r="187" spans="1:13" ht="30.6" customHeight="1" thickBot="1" x14ac:dyDescent="0.25">
      <c r="A187" s="28"/>
      <c r="B187" s="28"/>
      <c r="C187" s="28"/>
      <c r="D187" s="81" t="s">
        <v>399</v>
      </c>
      <c r="E187" s="81"/>
      <c r="F187" s="81"/>
      <c r="G187" s="81"/>
      <c r="H187" s="81"/>
      <c r="I187" s="81"/>
      <c r="J187" s="81"/>
      <c r="K187" s="81"/>
      <c r="L187" s="81"/>
      <c r="M187" s="81"/>
    </row>
    <row r="188" spans="1:13" ht="15.4" customHeight="1" thickBot="1" x14ac:dyDescent="0.25">
      <c r="A188" s="39"/>
      <c r="B188" s="39"/>
      <c r="C188" s="39"/>
      <c r="D188" s="60" t="s">
        <v>400</v>
      </c>
      <c r="E188" s="61"/>
      <c r="F188" s="61"/>
      <c r="G188" s="61"/>
      <c r="H188" s="61"/>
      <c r="I188" s="61"/>
      <c r="J188" s="61"/>
      <c r="K188" s="61"/>
      <c r="L188" s="62">
        <f>M160+M164+M168+M172+M176+M180+M182+M184+M186</f>
        <v>240.73999999999998</v>
      </c>
      <c r="M188" s="62">
        <f>ROUND(L188,2)</f>
        <v>240.74</v>
      </c>
    </row>
    <row r="189" spans="1:13" ht="15.4" customHeight="1" thickBot="1" x14ac:dyDescent="0.25">
      <c r="A189" s="57" t="s">
        <v>401</v>
      </c>
      <c r="B189" s="57" t="s">
        <v>402</v>
      </c>
      <c r="C189" s="58"/>
      <c r="D189" s="83" t="s">
        <v>403</v>
      </c>
      <c r="E189" s="83"/>
      <c r="F189" s="83"/>
      <c r="G189" s="83"/>
      <c r="H189" s="83"/>
      <c r="I189" s="83"/>
      <c r="J189" s="83"/>
      <c r="K189" s="58"/>
      <c r="L189" s="59">
        <f>L194</f>
        <v>8511.880000000001</v>
      </c>
      <c r="M189" s="59">
        <f>ROUND(L189,2)</f>
        <v>8511.8799999999992</v>
      </c>
    </row>
    <row r="190" spans="1:13" ht="15.4" customHeight="1" thickBot="1" x14ac:dyDescent="0.25">
      <c r="A190" s="10" t="s">
        <v>404</v>
      </c>
      <c r="B190" s="5" t="s">
        <v>405</v>
      </c>
      <c r="C190" s="5"/>
      <c r="D190" s="81" t="s">
        <v>406</v>
      </c>
      <c r="E190" s="81"/>
      <c r="F190" s="81"/>
      <c r="G190" s="81"/>
      <c r="H190" s="81"/>
      <c r="I190" s="81"/>
      <c r="J190" s="81"/>
      <c r="K190" s="26">
        <f>ROUND(1,2)</f>
        <v>1</v>
      </c>
      <c r="L190" s="27">
        <f>ROUND(312.852*(1+M2/100),2)</f>
        <v>322.24</v>
      </c>
      <c r="M190" s="27">
        <f>ROUND(K190*L190,2)</f>
        <v>322.24</v>
      </c>
    </row>
    <row r="191" spans="1:13" ht="12.2" customHeight="1" thickBot="1" x14ac:dyDescent="0.25">
      <c r="A191" s="28"/>
      <c r="B191" s="28"/>
      <c r="C191" s="28"/>
      <c r="D191" s="81" t="s">
        <v>407</v>
      </c>
      <c r="E191" s="81"/>
      <c r="F191" s="81"/>
      <c r="G191" s="81"/>
      <c r="H191" s="81"/>
      <c r="I191" s="81"/>
      <c r="J191" s="81"/>
      <c r="K191" s="81"/>
      <c r="L191" s="81"/>
      <c r="M191" s="81"/>
    </row>
    <row r="192" spans="1:13" ht="15.4" customHeight="1" thickBot="1" x14ac:dyDescent="0.25">
      <c r="A192" s="10" t="s">
        <v>408</v>
      </c>
      <c r="B192" s="5" t="s">
        <v>409</v>
      </c>
      <c r="C192" s="5" t="s">
        <v>410</v>
      </c>
      <c r="D192" s="81" t="s">
        <v>411</v>
      </c>
      <c r="E192" s="81"/>
      <c r="F192" s="81"/>
      <c r="G192" s="81"/>
      <c r="H192" s="81"/>
      <c r="I192" s="81"/>
      <c r="J192" s="81"/>
      <c r="K192" s="26">
        <f>ROUND(0.04,2)</f>
        <v>0.04</v>
      </c>
      <c r="L192" s="27">
        <f>ROUND(198777.67*(1+M2/100),2)</f>
        <v>204741</v>
      </c>
      <c r="M192" s="27">
        <f>ROUND(K192*L192,2)</f>
        <v>8189.64</v>
      </c>
    </row>
    <row r="193" spans="1:13" ht="12.2" customHeight="1" thickBot="1" x14ac:dyDescent="0.25">
      <c r="A193" s="28"/>
      <c r="B193" s="28"/>
      <c r="C193" s="28"/>
      <c r="D193" s="81" t="s">
        <v>412</v>
      </c>
      <c r="E193" s="81"/>
      <c r="F193" s="81"/>
      <c r="G193" s="81"/>
      <c r="H193" s="81"/>
      <c r="I193" s="81"/>
      <c r="J193" s="81"/>
      <c r="K193" s="81"/>
      <c r="L193" s="81"/>
      <c r="M193" s="81"/>
    </row>
    <row r="194" spans="1:13" ht="15.4" customHeight="1" thickBot="1" x14ac:dyDescent="0.25">
      <c r="A194" s="39"/>
      <c r="B194" s="39"/>
      <c r="C194" s="39"/>
      <c r="D194" s="60" t="s">
        <v>413</v>
      </c>
      <c r="E194" s="61"/>
      <c r="F194" s="61"/>
      <c r="G194" s="61"/>
      <c r="H194" s="61"/>
      <c r="I194" s="61"/>
      <c r="J194" s="61"/>
      <c r="K194" s="61"/>
      <c r="L194" s="62">
        <f>M190+M192</f>
        <v>8511.880000000001</v>
      </c>
      <c r="M194" s="62">
        <f>ROUND(L194,2)</f>
        <v>8511.8799999999992</v>
      </c>
    </row>
    <row r="195" spans="1:13" ht="15.4" customHeight="1" thickBot="1" x14ac:dyDescent="0.25">
      <c r="A195" s="43"/>
      <c r="B195" s="43"/>
      <c r="C195" s="43"/>
      <c r="D195" s="63" t="s">
        <v>414</v>
      </c>
      <c r="E195" s="64"/>
      <c r="F195" s="64"/>
      <c r="G195" s="64"/>
      <c r="H195" s="64"/>
      <c r="I195" s="64"/>
      <c r="J195" s="64"/>
      <c r="K195" s="64"/>
      <c r="L195" s="65">
        <f>M52+M145+M158+M188+M194</f>
        <v>205117.43</v>
      </c>
      <c r="M195" s="65">
        <f>ROUND(L195,2)</f>
        <v>205117.43</v>
      </c>
    </row>
    <row r="196" spans="1:13" ht="15.4" customHeight="1" thickBot="1" x14ac:dyDescent="0.25">
      <c r="A196" s="66" t="s">
        <v>415</v>
      </c>
      <c r="B196" s="66" t="s">
        <v>416</v>
      </c>
      <c r="C196" s="67"/>
      <c r="D196" s="84" t="s">
        <v>417</v>
      </c>
      <c r="E196" s="84"/>
      <c r="F196" s="84"/>
      <c r="G196" s="84"/>
      <c r="H196" s="84"/>
      <c r="I196" s="84"/>
      <c r="J196" s="84"/>
      <c r="K196" s="67"/>
      <c r="L196" s="68">
        <f>L209</f>
        <v>29863.219999999998</v>
      </c>
      <c r="M196" s="68">
        <f>ROUND(L196,2)</f>
        <v>29863.22</v>
      </c>
    </row>
    <row r="197" spans="1:13" ht="30.6" customHeight="1" thickBot="1" x14ac:dyDescent="0.25">
      <c r="A197" s="10" t="s">
        <v>418</v>
      </c>
      <c r="B197" s="5" t="s">
        <v>419</v>
      </c>
      <c r="C197" s="5" t="s">
        <v>420</v>
      </c>
      <c r="D197" s="81" t="s">
        <v>421</v>
      </c>
      <c r="E197" s="81"/>
      <c r="F197" s="81"/>
      <c r="G197" s="81"/>
      <c r="H197" s="81"/>
      <c r="I197" s="81"/>
      <c r="J197" s="81"/>
      <c r="K197" s="26">
        <f>SUM(K200:K202)</f>
        <v>34</v>
      </c>
      <c r="L197" s="27">
        <f>ROUND(795.81*(1+M2/100),2)</f>
        <v>819.68</v>
      </c>
      <c r="M197" s="27">
        <f>ROUND(K197*L197,2)</f>
        <v>27869.119999999999</v>
      </c>
    </row>
    <row r="198" spans="1:13" ht="39.75" customHeight="1" thickBot="1" x14ac:dyDescent="0.25">
      <c r="A198" s="28"/>
      <c r="B198" s="28"/>
      <c r="C198" s="28"/>
      <c r="D198" s="81" t="s">
        <v>422</v>
      </c>
      <c r="E198" s="81"/>
      <c r="F198" s="81"/>
      <c r="G198" s="81"/>
      <c r="H198" s="81"/>
      <c r="I198" s="81"/>
      <c r="J198" s="81"/>
      <c r="K198" s="81"/>
      <c r="L198" s="81"/>
      <c r="M198" s="81"/>
    </row>
    <row r="199" spans="1:13" ht="15.2" customHeight="1" thickBot="1" x14ac:dyDescent="0.25">
      <c r="A199" s="28"/>
      <c r="B199" s="28"/>
      <c r="C199" s="28"/>
      <c r="D199" s="28"/>
      <c r="E199" s="29"/>
      <c r="F199" s="30" t="s">
        <v>423</v>
      </c>
      <c r="G199" s="30" t="s">
        <v>424</v>
      </c>
      <c r="H199" s="30" t="s">
        <v>425</v>
      </c>
      <c r="I199" s="30" t="s">
        <v>426</v>
      </c>
      <c r="J199" s="30" t="s">
        <v>427</v>
      </c>
      <c r="K199" s="30" t="s">
        <v>428</v>
      </c>
      <c r="L199" s="28"/>
      <c r="M199" s="28"/>
    </row>
    <row r="200" spans="1:13" ht="15.2" customHeight="1" thickBot="1" x14ac:dyDescent="0.25">
      <c r="A200" s="28"/>
      <c r="B200" s="28"/>
      <c r="C200" s="28"/>
      <c r="D200" s="31"/>
      <c r="E200" s="32" t="s">
        <v>429</v>
      </c>
      <c r="F200" s="33">
        <v>8</v>
      </c>
      <c r="G200" s="34"/>
      <c r="H200" s="34"/>
      <c r="I200" s="34"/>
      <c r="J200" s="36">
        <f>ROUND(F200,3)</f>
        <v>8</v>
      </c>
      <c r="K200" s="37"/>
      <c r="L200" s="28"/>
      <c r="M200" s="28"/>
    </row>
    <row r="201" spans="1:13" ht="15.2" customHeight="1" thickBot="1" x14ac:dyDescent="0.25">
      <c r="A201" s="28"/>
      <c r="B201" s="28"/>
      <c r="C201" s="28"/>
      <c r="D201" s="31"/>
      <c r="E201" s="5" t="s">
        <v>430</v>
      </c>
      <c r="F201" s="3">
        <v>13</v>
      </c>
      <c r="G201" s="26"/>
      <c r="H201" s="26"/>
      <c r="I201" s="26"/>
      <c r="J201" s="35">
        <f>ROUND(F201,3)</f>
        <v>13</v>
      </c>
      <c r="K201" s="28"/>
      <c r="L201" s="28"/>
      <c r="M201" s="28"/>
    </row>
    <row r="202" spans="1:13" ht="15.2" customHeight="1" thickBot="1" x14ac:dyDescent="0.25">
      <c r="A202" s="28"/>
      <c r="B202" s="28"/>
      <c r="C202" s="28"/>
      <c r="D202" s="31"/>
      <c r="E202" s="5" t="s">
        <v>431</v>
      </c>
      <c r="F202" s="3">
        <v>13</v>
      </c>
      <c r="G202" s="26"/>
      <c r="H202" s="26"/>
      <c r="I202" s="26"/>
      <c r="J202" s="35">
        <f>ROUND(F202,3)</f>
        <v>13</v>
      </c>
      <c r="K202" s="38">
        <f>SUM(J200:J202)</f>
        <v>34</v>
      </c>
      <c r="L202" s="28"/>
      <c r="M202" s="28"/>
    </row>
    <row r="203" spans="1:13" ht="15.4" customHeight="1" thickBot="1" x14ac:dyDescent="0.25">
      <c r="A203" s="10" t="s">
        <v>432</v>
      </c>
      <c r="B203" s="5" t="s">
        <v>433</v>
      </c>
      <c r="C203" s="5" t="s">
        <v>434</v>
      </c>
      <c r="D203" s="81" t="s">
        <v>435</v>
      </c>
      <c r="E203" s="81"/>
      <c r="F203" s="81"/>
      <c r="G203" s="81"/>
      <c r="H203" s="81"/>
      <c r="I203" s="81"/>
      <c r="J203" s="81"/>
      <c r="K203" s="26">
        <f>SUM(K206:K208)</f>
        <v>34</v>
      </c>
      <c r="L203" s="27">
        <f>ROUND(56.94*(1+M2/100),2)</f>
        <v>58.65</v>
      </c>
      <c r="M203" s="27">
        <f>ROUND(K203*L203,2)</f>
        <v>1994.1</v>
      </c>
    </row>
    <row r="204" spans="1:13" ht="21.4" customHeight="1" thickBot="1" x14ac:dyDescent="0.25">
      <c r="A204" s="28"/>
      <c r="B204" s="28"/>
      <c r="C204" s="28"/>
      <c r="D204" s="81" t="s">
        <v>436</v>
      </c>
      <c r="E204" s="81"/>
      <c r="F204" s="81"/>
      <c r="G204" s="81"/>
      <c r="H204" s="81"/>
      <c r="I204" s="81"/>
      <c r="J204" s="81"/>
      <c r="K204" s="81"/>
      <c r="L204" s="81"/>
      <c r="M204" s="81"/>
    </row>
    <row r="205" spans="1:13" ht="21.4" customHeight="1" thickBot="1" x14ac:dyDescent="0.25">
      <c r="A205" s="28"/>
      <c r="B205" s="28"/>
      <c r="C205" s="28"/>
      <c r="D205" s="28"/>
      <c r="E205" s="29" t="s">
        <v>437</v>
      </c>
      <c r="F205" s="30" t="s">
        <v>438</v>
      </c>
      <c r="G205" s="30" t="s">
        <v>439</v>
      </c>
      <c r="H205" s="30" t="s">
        <v>440</v>
      </c>
      <c r="I205" s="30" t="s">
        <v>441</v>
      </c>
      <c r="J205" s="30" t="s">
        <v>442</v>
      </c>
      <c r="K205" s="30" t="s">
        <v>443</v>
      </c>
      <c r="L205" s="28"/>
      <c r="M205" s="28"/>
    </row>
    <row r="206" spans="1:13" ht="15.2" customHeight="1" thickBot="1" x14ac:dyDescent="0.25">
      <c r="A206" s="28"/>
      <c r="B206" s="28"/>
      <c r="C206" s="28"/>
      <c r="D206" s="31"/>
      <c r="E206" s="32" t="s">
        <v>444</v>
      </c>
      <c r="F206" s="33">
        <v>8</v>
      </c>
      <c r="G206" s="34"/>
      <c r="H206" s="34"/>
      <c r="I206" s="34"/>
      <c r="J206" s="36">
        <f>ROUND(F206,3)</f>
        <v>8</v>
      </c>
      <c r="K206" s="37"/>
      <c r="L206" s="28"/>
      <c r="M206" s="28"/>
    </row>
    <row r="207" spans="1:13" ht="15.2" customHeight="1" thickBot="1" x14ac:dyDescent="0.25">
      <c r="A207" s="28"/>
      <c r="B207" s="28"/>
      <c r="C207" s="28"/>
      <c r="D207" s="31"/>
      <c r="E207" s="5" t="s">
        <v>445</v>
      </c>
      <c r="F207" s="3">
        <v>13</v>
      </c>
      <c r="G207" s="26"/>
      <c r="H207" s="26"/>
      <c r="I207" s="26"/>
      <c r="J207" s="35">
        <f>ROUND(F207,3)</f>
        <v>13</v>
      </c>
      <c r="K207" s="28"/>
      <c r="L207" s="28"/>
      <c r="M207" s="28"/>
    </row>
    <row r="208" spans="1:13" ht="15.2" customHeight="1" thickBot="1" x14ac:dyDescent="0.25">
      <c r="A208" s="28"/>
      <c r="B208" s="28"/>
      <c r="C208" s="28"/>
      <c r="D208" s="31"/>
      <c r="E208" s="5" t="s">
        <v>446</v>
      </c>
      <c r="F208" s="3">
        <v>13</v>
      </c>
      <c r="G208" s="26"/>
      <c r="H208" s="26"/>
      <c r="I208" s="26"/>
      <c r="J208" s="35">
        <f>ROUND(F208,3)</f>
        <v>13</v>
      </c>
      <c r="K208" s="38">
        <f>SUM(J206:J208)</f>
        <v>34</v>
      </c>
      <c r="L208" s="28"/>
      <c r="M208" s="28"/>
    </row>
    <row r="209" spans="1:13" ht="15.4" customHeight="1" thickBot="1" x14ac:dyDescent="0.25">
      <c r="A209" s="39"/>
      <c r="B209" s="39"/>
      <c r="C209" s="39"/>
      <c r="D209" s="69" t="s">
        <v>447</v>
      </c>
      <c r="E209" s="70"/>
      <c r="F209" s="70"/>
      <c r="G209" s="70"/>
      <c r="H209" s="70"/>
      <c r="I209" s="70"/>
      <c r="J209" s="70"/>
      <c r="K209" s="70"/>
      <c r="L209" s="71">
        <f>M197+M203</f>
        <v>29863.219999999998</v>
      </c>
      <c r="M209" s="71">
        <f>ROUND(L209,2)</f>
        <v>29863.22</v>
      </c>
    </row>
    <row r="210" spans="1:13" ht="15.4" customHeight="1" thickBot="1" x14ac:dyDescent="0.25">
      <c r="A210" s="66" t="s">
        <v>448</v>
      </c>
      <c r="B210" s="66" t="s">
        <v>449</v>
      </c>
      <c r="C210" s="67"/>
      <c r="D210" s="84" t="s">
        <v>450</v>
      </c>
      <c r="E210" s="84"/>
      <c r="F210" s="84"/>
      <c r="G210" s="84"/>
      <c r="H210" s="84"/>
      <c r="I210" s="84"/>
      <c r="J210" s="84"/>
      <c r="K210" s="67"/>
      <c r="L210" s="68">
        <f>L213</f>
        <v>31200</v>
      </c>
      <c r="M210" s="68">
        <f>ROUND(L210,2)</f>
        <v>31200</v>
      </c>
    </row>
    <row r="211" spans="1:13" ht="21.4" customHeight="1" thickBot="1" x14ac:dyDescent="0.25">
      <c r="A211" s="10" t="s">
        <v>451</v>
      </c>
      <c r="B211" s="5" t="s">
        <v>452</v>
      </c>
      <c r="C211" s="5" t="s">
        <v>453</v>
      </c>
      <c r="D211" s="81" t="s">
        <v>454</v>
      </c>
      <c r="E211" s="81"/>
      <c r="F211" s="81"/>
      <c r="G211" s="81"/>
      <c r="H211" s="81"/>
      <c r="I211" s="81"/>
      <c r="J211" s="81"/>
      <c r="K211" s="26">
        <f>ROUND(39,2)</f>
        <v>39</v>
      </c>
      <c r="L211" s="27">
        <f>ROUND(776.7*(1+M2/100),2)</f>
        <v>800</v>
      </c>
      <c r="M211" s="27">
        <f>ROUND(K211*L211,2)</f>
        <v>31200</v>
      </c>
    </row>
    <row r="212" spans="1:13" ht="76.900000000000006" customHeight="1" thickBot="1" x14ac:dyDescent="0.25">
      <c r="A212" s="28"/>
      <c r="B212" s="28"/>
      <c r="C212" s="28"/>
      <c r="D212" s="81" t="s">
        <v>455</v>
      </c>
      <c r="E212" s="81"/>
      <c r="F212" s="81"/>
      <c r="G212" s="81"/>
      <c r="H212" s="81"/>
      <c r="I212" s="81"/>
      <c r="J212" s="81"/>
      <c r="K212" s="81"/>
      <c r="L212" s="81"/>
      <c r="M212" s="81"/>
    </row>
    <row r="213" spans="1:13" ht="15.4" customHeight="1" thickBot="1" x14ac:dyDescent="0.25">
      <c r="A213" s="39"/>
      <c r="B213" s="39"/>
      <c r="C213" s="39"/>
      <c r="D213" s="69" t="s">
        <v>456</v>
      </c>
      <c r="E213" s="70"/>
      <c r="F213" s="70"/>
      <c r="G213" s="70"/>
      <c r="H213" s="70"/>
      <c r="I213" s="70"/>
      <c r="J213" s="70"/>
      <c r="K213" s="70"/>
      <c r="L213" s="71">
        <f>M211</f>
        <v>31200</v>
      </c>
      <c r="M213" s="71">
        <f>ROUND(L213,2)</f>
        <v>31200</v>
      </c>
    </row>
    <row r="214" spans="1:13" ht="15.4" customHeight="1" thickBot="1" x14ac:dyDescent="0.25">
      <c r="A214" s="43"/>
      <c r="B214" s="43"/>
      <c r="C214" s="43"/>
      <c r="D214" s="72" t="s">
        <v>457</v>
      </c>
      <c r="E214" s="73"/>
      <c r="F214" s="73"/>
      <c r="G214" s="73"/>
      <c r="H214" s="73"/>
      <c r="I214" s="73"/>
      <c r="J214" s="73"/>
      <c r="K214" s="73"/>
      <c r="L214" s="74">
        <f>M195+M209+M213</f>
        <v>266180.65000000002</v>
      </c>
      <c r="M214" s="74">
        <f>ROUND(L214,2)</f>
        <v>266180.65000000002</v>
      </c>
    </row>
  </sheetData>
  <mergeCells count="65">
    <mergeCell ref="D203:J203"/>
    <mergeCell ref="D204:M204"/>
    <mergeCell ref="D210:J210"/>
    <mergeCell ref="D211:J211"/>
    <mergeCell ref="D212:M212"/>
    <mergeCell ref="D192:J192"/>
    <mergeCell ref="D193:M193"/>
    <mergeCell ref="D196:J196"/>
    <mergeCell ref="D197:J197"/>
    <mergeCell ref="D198:M198"/>
    <mergeCell ref="D186:J186"/>
    <mergeCell ref="D187:M187"/>
    <mergeCell ref="D189:J189"/>
    <mergeCell ref="D190:J190"/>
    <mergeCell ref="D191:M191"/>
    <mergeCell ref="D181:M181"/>
    <mergeCell ref="D182:J182"/>
    <mergeCell ref="D183:M183"/>
    <mergeCell ref="D184:J184"/>
    <mergeCell ref="D185:M185"/>
    <mergeCell ref="D172:J172"/>
    <mergeCell ref="D173:M173"/>
    <mergeCell ref="D176:J176"/>
    <mergeCell ref="D177:M177"/>
    <mergeCell ref="D180:J180"/>
    <mergeCell ref="D161:M161"/>
    <mergeCell ref="D164:J164"/>
    <mergeCell ref="D165:M165"/>
    <mergeCell ref="D168:J168"/>
    <mergeCell ref="D169:M169"/>
    <mergeCell ref="D146:J146"/>
    <mergeCell ref="D147:J147"/>
    <mergeCell ref="D148:M148"/>
    <mergeCell ref="D159:J159"/>
    <mergeCell ref="D160:J160"/>
    <mergeCell ref="D59:M59"/>
    <mergeCell ref="D69:J69"/>
    <mergeCell ref="D70:M70"/>
    <mergeCell ref="D107:J107"/>
    <mergeCell ref="D108:M108"/>
    <mergeCell ref="D48:M48"/>
    <mergeCell ref="D53:J53"/>
    <mergeCell ref="D54:J54"/>
    <mergeCell ref="D55:M55"/>
    <mergeCell ref="D58:J58"/>
    <mergeCell ref="D36:M36"/>
    <mergeCell ref="D44:J44"/>
    <mergeCell ref="D45:J45"/>
    <mergeCell ref="D46:M46"/>
    <mergeCell ref="D47:J47"/>
    <mergeCell ref="D19:M19"/>
    <mergeCell ref="D29:J29"/>
    <mergeCell ref="D30:J30"/>
    <mergeCell ref="D31:M31"/>
    <mergeCell ref="D35:J35"/>
    <mergeCell ref="D7:J7"/>
    <mergeCell ref="D8:J8"/>
    <mergeCell ref="D9:J9"/>
    <mergeCell ref="D10:M10"/>
    <mergeCell ref="D18:J18"/>
    <mergeCell ref="B1:M1"/>
    <mergeCell ref="A2:C2"/>
    <mergeCell ref="D4:J4"/>
    <mergeCell ref="D5:J5"/>
    <mergeCell ref="D6:J6"/>
  </mergeCells>
  <pageMargins left="0.62007900000000005" right="0.472441" top="0.472441" bottom="0.472441" header="0" footer="0"/>
  <pageSetup paperSize="9" orientation="landscape" r:id="rId1"/>
  <rowBreaks count="2" manualBreakCount="2">
    <brk max="16383" man="1"/>
    <brk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Full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Samper Carbó</dc:creator>
  <cp:lastModifiedBy>Marta Samper Carbó</cp:lastModifiedBy>
  <dcterms:created xsi:type="dcterms:W3CDTF">2024-09-05T11:43:20Z</dcterms:created>
  <dcterms:modified xsi:type="dcterms:W3CDTF">2024-09-05T11:43:20Z</dcterms:modified>
</cp:coreProperties>
</file>