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omments1.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AquestLlibreDeTreball" defaultThemeVersion="124226"/>
  <bookViews>
    <workbookView xWindow="2160" yWindow="-36" windowWidth="23136" windowHeight="12468" tabRatio="601" firstSheet="6" activeTab="6"/>
  </bookViews>
  <sheets>
    <sheet name="EST. MITJANA REVISIÓ SALARIS" sheetId="15" state="hidden" r:id="rId1"/>
    <sheet name="Conveni ref-personal necessari" sheetId="14" state="hidden" r:id="rId2"/>
    <sheet name="retribucions-categoria" sheetId="8" state="hidden" r:id="rId3"/>
    <sheet name="resum valoració (2)" sheetId="13" state="hidden" r:id="rId4"/>
    <sheet name="modificacions previstes" sheetId="24" state="hidden" r:id="rId5"/>
    <sheet name="RESUM LICITACIÓ i VEC" sheetId="21" state="hidden" r:id="rId6"/>
    <sheet name="ANNEX4" sheetId="27" r:id="rId7"/>
    <sheet name="profesionals per grups" sheetId="23" state="hidden" r:id="rId8"/>
    <sheet name="Full1" sheetId="26" state="hidden" r:id="rId9"/>
  </sheets>
  <definedNames>
    <definedName name="_xlnm.Print_Area" localSheetId="1">'Conveni ref-personal necessari'!$B$1:$J$38</definedName>
    <definedName name="_xlnm.Print_Area" localSheetId="0">'EST. MITJANA REVISIÓ SALARIS'!$A$1:$H$13</definedName>
    <definedName name="_xlnm.Print_Area" localSheetId="4">'modificacions previstes'!$A$1:$P$25</definedName>
    <definedName name="_xlnm.Print_Area" localSheetId="3">'resum valoració (2)'!$A$1:$D$22</definedName>
    <definedName name="CostAuxiliarHora">#REF!</definedName>
    <definedName name="CostDireccióHora">#REF!</definedName>
    <definedName name="CostMenú">#REF!</definedName>
    <definedName name="HoresSessió">#REF!</definedName>
    <definedName name="SessionsAnuals">#REF!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7" l="1"/>
  <c r="H14" i="27" l="1"/>
  <c r="H13" i="27"/>
  <c r="H12" i="27"/>
  <c r="H8" i="27"/>
  <c r="H9" i="27" s="1"/>
  <c r="H15" i="27" l="1"/>
  <c r="H22" i="27" s="1"/>
  <c r="H23" i="27" s="1"/>
  <c r="T13" i="21"/>
  <c r="T11" i="21"/>
  <c r="T12" i="21"/>
  <c r="T10" i="21"/>
  <c r="T9" i="21"/>
  <c r="H24" i="27" l="1"/>
  <c r="U9" i="21"/>
  <c r="V9" i="21" l="1"/>
  <c r="F14" i="27" l="1"/>
  <c r="F13" i="27"/>
  <c r="F12" i="27"/>
  <c r="F20" i="27"/>
  <c r="F9" i="27"/>
  <c r="F15" i="27" l="1"/>
  <c r="F22" i="27" s="1"/>
  <c r="F23" i="27" s="1"/>
  <c r="S11" i="21" l="1"/>
  <c r="H8" i="21" l="1"/>
  <c r="R9" i="21" l="1"/>
  <c r="Q8" i="21"/>
  <c r="Y8" i="21" s="1"/>
  <c r="C8" i="23" l="1"/>
  <c r="I32" i="24"/>
  <c r="C30" i="24"/>
  <c r="F32" i="24" l="1"/>
  <c r="F7" i="15" l="1"/>
  <c r="C15" i="24" l="1"/>
  <c r="C31" i="24" s="1"/>
  <c r="C36" i="14" l="1"/>
  <c r="C35" i="14"/>
  <c r="C38" i="14" s="1"/>
  <c r="D34" i="14"/>
  <c r="D31" i="14"/>
  <c r="K19" i="24" l="1"/>
  <c r="G19" i="24"/>
  <c r="J19" i="24"/>
  <c r="I19" i="24"/>
  <c r="F19" i="24"/>
  <c r="L19" i="24"/>
  <c r="D32" i="14"/>
  <c r="H19" i="24" l="1"/>
  <c r="M19" i="24"/>
  <c r="N19" i="24" l="1"/>
  <c r="D36" i="14"/>
  <c r="I18" i="24" l="1"/>
  <c r="L18" i="24"/>
  <c r="G18" i="24"/>
  <c r="J18" i="24"/>
  <c r="F18" i="24"/>
  <c r="H18" i="24" s="1"/>
  <c r="K18" i="24"/>
  <c r="M18" i="24" l="1"/>
  <c r="N18" i="24" s="1"/>
  <c r="C13" i="24" l="1"/>
  <c r="C29" i="24" s="1"/>
  <c r="F8" i="15" l="1"/>
  <c r="G6" i="15"/>
  <c r="F9" i="15" l="1"/>
  <c r="F10" i="15" s="1"/>
  <c r="F11" i="15" l="1"/>
  <c r="D7" i="15" s="1"/>
  <c r="E7" i="15" s="1"/>
  <c r="G7" i="15" s="1"/>
  <c r="E8" i="15" l="1"/>
  <c r="E9" i="15"/>
  <c r="E10" i="15" l="1"/>
  <c r="G10" i="15" s="1"/>
  <c r="G9" i="15"/>
  <c r="G8" i="15"/>
  <c r="E11" i="15" l="1"/>
  <c r="G11" i="15" s="1"/>
  <c r="D21" i="14" l="1"/>
  <c r="D20" i="14"/>
  <c r="D9" i="14"/>
  <c r="D15" i="14" l="1"/>
  <c r="E15" i="14" s="1"/>
  <c r="D13" i="14"/>
  <c r="E13" i="14" s="1"/>
  <c r="D17" i="14"/>
  <c r="E17" i="14" s="1"/>
  <c r="D14" i="14"/>
  <c r="E14" i="14" s="1"/>
  <c r="D16" i="14"/>
  <c r="E16" i="14" s="1"/>
  <c r="E21" i="14"/>
  <c r="E20" i="14"/>
  <c r="D12" i="14"/>
  <c r="E12" i="14" s="1"/>
  <c r="D30" i="14" l="1"/>
  <c r="C2" i="14"/>
  <c r="E31" i="14" l="1"/>
  <c r="E34" i="14"/>
  <c r="E36" i="14"/>
  <c r="E32" i="14"/>
  <c r="E30" i="14"/>
  <c r="E35" i="14"/>
  <c r="D35" i="14"/>
  <c r="A31" i="24" l="1"/>
  <c r="A15" i="24"/>
  <c r="G31" i="24" l="1"/>
  <c r="H31" i="24" s="1"/>
  <c r="L31" i="24"/>
  <c r="J31" i="24"/>
  <c r="K31" i="24"/>
  <c r="F15" i="24"/>
  <c r="I15" i="24"/>
  <c r="G15" i="24"/>
  <c r="L15" i="24"/>
  <c r="J15" i="24"/>
  <c r="K15" i="24"/>
  <c r="D16" i="13"/>
  <c r="C14" i="13"/>
  <c r="B14" i="13"/>
  <c r="C10" i="13"/>
  <c r="B10" i="13"/>
  <c r="C6" i="13"/>
  <c r="B6" i="13"/>
  <c r="H15" i="24" l="1"/>
  <c r="M15" i="24"/>
  <c r="M31" i="24"/>
  <c r="D14" i="13"/>
  <c r="D6" i="13"/>
  <c r="D10" i="13"/>
  <c r="N15" i="24" l="1"/>
  <c r="A30" i="24" l="1"/>
  <c r="A14" i="24"/>
  <c r="J14" i="24" l="1"/>
  <c r="I14" i="24"/>
  <c r="L14" i="24"/>
  <c r="K14" i="24"/>
  <c r="F14" i="24"/>
  <c r="G14" i="24"/>
  <c r="G30" i="24"/>
  <c r="H30" i="24" s="1"/>
  <c r="J30" i="24"/>
  <c r="K30" i="24"/>
  <c r="L30" i="24"/>
  <c r="C15" i="13"/>
  <c r="C17" i="13" s="1"/>
  <c r="B15" i="13"/>
  <c r="B17" i="13" s="1"/>
  <c r="D15" i="13"/>
  <c r="H14" i="24" l="1"/>
  <c r="M14" i="24"/>
  <c r="M30" i="24"/>
  <c r="D17" i="13"/>
  <c r="K12" i="8"/>
  <c r="K10" i="8"/>
  <c r="I18" i="8"/>
  <c r="I16" i="8"/>
  <c r="I12" i="8"/>
  <c r="I10" i="8"/>
  <c r="G18" i="8"/>
  <c r="G16" i="8"/>
  <c r="G12" i="8"/>
  <c r="G10" i="8"/>
  <c r="E18" i="8"/>
  <c r="E16" i="8"/>
  <c r="E12" i="8"/>
  <c r="E10" i="8"/>
  <c r="C12" i="8"/>
  <c r="C10" i="8"/>
  <c r="N14" i="24" l="1"/>
  <c r="D7" i="13" l="1"/>
  <c r="C7" i="13"/>
  <c r="C8" i="13" s="1"/>
  <c r="B7" i="13"/>
  <c r="B8" i="13" s="1"/>
  <c r="A13" i="24" l="1"/>
  <c r="A29" i="24"/>
  <c r="D11" i="13"/>
  <c r="C11" i="13"/>
  <c r="C12" i="13" s="1"/>
  <c r="B11" i="13"/>
  <c r="B12" i="13" s="1"/>
  <c r="D8" i="13"/>
  <c r="L29" i="24" l="1"/>
  <c r="L32" i="24" s="1"/>
  <c r="G29" i="24"/>
  <c r="K29" i="24"/>
  <c r="K32" i="24" s="1"/>
  <c r="J29" i="24"/>
  <c r="F13" i="24"/>
  <c r="J13" i="24"/>
  <c r="J16" i="24" s="1"/>
  <c r="L13" i="24"/>
  <c r="L16" i="24" s="1"/>
  <c r="I13" i="24"/>
  <c r="K13" i="24"/>
  <c r="K16" i="24" s="1"/>
  <c r="G13" i="24"/>
  <c r="G16" i="24" s="1"/>
  <c r="D12" i="13"/>
  <c r="U10" i="21" l="1"/>
  <c r="U12" i="21"/>
  <c r="V12" i="21"/>
  <c r="I16" i="24"/>
  <c r="M13" i="24"/>
  <c r="M16" i="24" s="1"/>
  <c r="H13" i="24"/>
  <c r="F16" i="24"/>
  <c r="M29" i="24"/>
  <c r="M32" i="24" s="1"/>
  <c r="J32" i="24"/>
  <c r="H29" i="24"/>
  <c r="H32" i="24" s="1"/>
  <c r="G32" i="24"/>
  <c r="N13" i="24" l="1"/>
  <c r="N16" i="24" s="1"/>
  <c r="H16" i="24"/>
  <c r="N29" i="24" l="1"/>
  <c r="N30" i="24"/>
  <c r="N31" i="24"/>
  <c r="N32" i="24" l="1"/>
  <c r="I9" i="24" l="1"/>
  <c r="I10" i="24" s="1"/>
  <c r="I21" i="24" s="1"/>
  <c r="L9" i="24"/>
  <c r="L10" i="24" s="1"/>
  <c r="L21" i="24" s="1"/>
  <c r="G9" i="24"/>
  <c r="G10" i="24" s="1"/>
  <c r="C4" i="13"/>
  <c r="C18" i="13" s="1"/>
  <c r="C19" i="13" s="1"/>
  <c r="C20" i="13" s="1"/>
  <c r="K9" i="24"/>
  <c r="K10" i="24" s="1"/>
  <c r="K21" i="24" s="1"/>
  <c r="K22" i="24" s="1"/>
  <c r="K23" i="24" s="1"/>
  <c r="F9" i="24"/>
  <c r="F10" i="24" s="1"/>
  <c r="F21" i="24" s="1"/>
  <c r="B4" i="13"/>
  <c r="B18" i="13" s="1"/>
  <c r="B19" i="13" s="1"/>
  <c r="B20" i="13" s="1"/>
  <c r="J9" i="24"/>
  <c r="J10" i="24" s="1"/>
  <c r="H9" i="24" l="1"/>
  <c r="H10" i="24" s="1"/>
  <c r="H21" i="24" s="1"/>
  <c r="M9" i="24"/>
  <c r="M10" i="24" s="1"/>
  <c r="M21" i="24" s="1"/>
  <c r="W11" i="21"/>
  <c r="J21" i="24"/>
  <c r="J22" i="24" s="1"/>
  <c r="J23" i="24" s="1"/>
  <c r="D4" i="13"/>
  <c r="D18" i="13" s="1"/>
  <c r="D19" i="13" s="1"/>
  <c r="D20" i="13" s="1"/>
  <c r="G21" i="24"/>
  <c r="G22" i="24" s="1"/>
  <c r="G23" i="24" s="1"/>
  <c r="L22" i="24"/>
  <c r="L23" i="24" s="1"/>
  <c r="F22" i="24"/>
  <c r="I22" i="24"/>
  <c r="V10" i="21" l="1"/>
  <c r="U11" i="21"/>
  <c r="V11" i="21"/>
  <c r="Y11" i="21" s="1"/>
  <c r="M22" i="24"/>
  <c r="M23" i="24" s="1"/>
  <c r="H22" i="24"/>
  <c r="N9" i="24"/>
  <c r="N10" i="24" s="1"/>
  <c r="N21" i="24" s="1"/>
  <c r="F23" i="24"/>
  <c r="I23" i="24"/>
  <c r="O29" i="24"/>
  <c r="O31" i="24"/>
  <c r="O32" i="24"/>
  <c r="O30" i="24"/>
  <c r="V13" i="21" l="1"/>
  <c r="X11" i="21"/>
  <c r="U13" i="21"/>
  <c r="N22" i="24"/>
  <c r="N23" i="24" s="1"/>
  <c r="H23" i="24"/>
  <c r="W8" i="21" l="1"/>
  <c r="X8" i="21" s="1"/>
  <c r="K8" i="21" l="1"/>
  <c r="H9" i="21" l="1"/>
  <c r="R12" i="21" l="1"/>
  <c r="Q9" i="21"/>
  <c r="H10" i="21"/>
  <c r="R10" i="21" s="1"/>
  <c r="J9" i="21"/>
  <c r="J10" i="21" s="1"/>
  <c r="Y10" i="21" l="1"/>
  <c r="X10" i="21"/>
  <c r="Y9" i="21"/>
  <c r="X9" i="21"/>
  <c r="X12" i="21"/>
  <c r="Y12" i="21"/>
  <c r="K9" i="21"/>
  <c r="K10" i="21" s="1"/>
  <c r="S9" i="21"/>
  <c r="W9" i="21" s="1"/>
  <c r="Q13" i="21"/>
  <c r="S10" i="21"/>
  <c r="W10" i="21" s="1"/>
  <c r="R13" i="21"/>
  <c r="S12" i="21"/>
  <c r="W12" i="21" s="1"/>
  <c r="T14" i="21" l="1"/>
  <c r="X13" i="21"/>
  <c r="Y13" i="21"/>
  <c r="V14" i="21"/>
  <c r="U14" i="21"/>
  <c r="W13" i="21"/>
  <c r="S13" i="21"/>
  <c r="S14" i="21" s="1"/>
  <c r="F24" i="27"/>
</calcChain>
</file>

<file path=xl/comments1.xml><?xml version="1.0" encoding="utf-8"?>
<comments xmlns="http://schemas.openxmlformats.org/spreadsheetml/2006/main">
  <authors>
    <author>Ajuntament de Barcelona</author>
  </authors>
  <commentList>
    <comment ref="G23" authorId="0">
      <text>
        <r>
          <rPr>
            <b/>
            <sz val="9"/>
            <color indexed="81"/>
            <rFont val="Tahoma"/>
            <charset val="1"/>
          </rPr>
          <t>Ajuntament de Barcelona:</t>
        </r>
        <r>
          <rPr>
            <sz val="9"/>
            <color indexed="81"/>
            <rFont val="Tahoma"/>
            <charset val="1"/>
          </rPr>
          <t xml:space="preserve">
Escolliu el tipus d'IVA aplicable</t>
        </r>
      </text>
    </comment>
  </commentList>
</comments>
</file>

<file path=xl/sharedStrings.xml><?xml version="1.0" encoding="utf-8"?>
<sst xmlns="http://schemas.openxmlformats.org/spreadsheetml/2006/main" count="238" uniqueCount="202">
  <si>
    <t>TOTAL CONTRACTE</t>
  </si>
  <si>
    <t>IVA</t>
  </si>
  <si>
    <t>tecnic superior</t>
  </si>
  <si>
    <t>tecnic mitj</t>
  </si>
  <si>
    <t>jornada anual h/any</t>
  </si>
  <si>
    <t>coordinador (comandament intermits,....)</t>
  </si>
  <si>
    <t xml:space="preserve">dinamitzador, animador sociocultural, </t>
  </si>
  <si>
    <t>APLICACIÓ ACTUAL</t>
  </si>
  <si>
    <t>CONVENIS</t>
  </si>
  <si>
    <t>OFICINES I DESPATXOS</t>
  </si>
  <si>
    <t>ACCIÓ SOCIAL</t>
  </si>
  <si>
    <t>LLEURE</t>
  </si>
  <si>
    <t>PROPOSTA 1ª</t>
  </si>
  <si>
    <t>comandament intermedis</t>
  </si>
  <si>
    <t>coordinador projectes pedagógics</t>
  </si>
  <si>
    <t>tecnic mitj, G2</t>
  </si>
  <si>
    <t>G4 1, sense comandament</t>
  </si>
  <si>
    <t>personal qualificat</t>
  </si>
  <si>
    <t>animador socio cultural</t>
  </si>
  <si>
    <t>COORDINADOR SERVEI</t>
  </si>
  <si>
    <t>INFORMADORS, I DINAMITZADORS,...</t>
  </si>
  <si>
    <t>RETRIBUCIONS 2011</t>
  </si>
  <si>
    <t>retribució/hora</t>
  </si>
  <si>
    <t xml:space="preserve">A TÍTOL INFORMATIU </t>
  </si>
  <si>
    <t>CJB</t>
  </si>
  <si>
    <t>APLICACIÓ 2013</t>
  </si>
  <si>
    <t>IVA 10%</t>
  </si>
  <si>
    <t>PREU DE LICITACIÓ AMB IVA</t>
  </si>
  <si>
    <t>DESGLOS DEL COST CONTRACTE, VALOR ESTIMAT CONTRACTE</t>
  </si>
  <si>
    <t>PREU DE LICITACIÓ</t>
  </si>
  <si>
    <t>Cost servei global</t>
  </si>
  <si>
    <t>Servei necessari per capacitació especialitzada</t>
  </si>
  <si>
    <t>Servei necessari pel suport jurídic expert</t>
  </si>
  <si>
    <t>Preu/hora del servei de desenvolupament de projectes socials singulars</t>
  </si>
  <si>
    <t>Servei necessari pel servei de desenvolupament de projectes socials singulars</t>
  </si>
  <si>
    <t>Cost màxim del servei de desenvolupament de projectes socials</t>
  </si>
  <si>
    <t>Servei inicial</t>
  </si>
  <si>
    <t>Preu/sessió de capacitació especialitzada</t>
  </si>
  <si>
    <t>Preu/sessió bàsica d'assessorament jurídic expert</t>
  </si>
  <si>
    <t>Cost màxim de la sessió bàsica del suport jurídic expert</t>
  </si>
  <si>
    <t>Cost màxim per ssessió de capacitació (formador i infraestructura necessària)</t>
  </si>
  <si>
    <t>arrodoniment euro</t>
  </si>
  <si>
    <t>CONVENI D'ACCIÓ SOCIAL AMB INFANTS, JOVES, FAMILIES I D'ALTRES EN SITUACIÓ DE RISC PER ALS ANYS 2013-2018</t>
  </si>
  <si>
    <t>Jornada efectiva de treball conveni vigent</t>
  </si>
  <si>
    <t>hores efectives de treball</t>
  </si>
  <si>
    <t>jornada màxima segons conveni</t>
  </si>
  <si>
    <t>hores</t>
  </si>
  <si>
    <t xml:space="preserve">hores </t>
  </si>
  <si>
    <t>CICLE GENERAL</t>
  </si>
  <si>
    <t>TOTAL PRORROGA</t>
  </si>
  <si>
    <t>jornada anual</t>
  </si>
  <si>
    <t>jornada efectiva</t>
  </si>
  <si>
    <t>professionals</t>
  </si>
  <si>
    <t>cicle general</t>
  </si>
  <si>
    <t>per hora</t>
  </si>
  <si>
    <t>salari anual</t>
  </si>
  <si>
    <t>preu hora</t>
  </si>
  <si>
    <t>plus disponibilitat</t>
  </si>
  <si>
    <t>DIRECCIÓ</t>
  </si>
  <si>
    <t>import per paga</t>
  </si>
  <si>
    <t>import anual</t>
  </si>
  <si>
    <t>VALORACIÓ I DIAGNÒSTIC</t>
  </si>
  <si>
    <t>COORDINACIÓ</t>
  </si>
  <si>
    <t>NOCTURNITAT jornada laboral que es realitza entre les 22h i les 8h.</t>
  </si>
  <si>
    <t>%25 del salari diari</t>
  </si>
  <si>
    <t>El 14 dies festius equivalen a 1,5 vegades les hores realitzades</t>
  </si>
  <si>
    <t>% de jornada nocturna</t>
  </si>
  <si>
    <t>SI</t>
  </si>
  <si>
    <t>plus coordinació</t>
  </si>
  <si>
    <t>plus val. i diag.</t>
  </si>
  <si>
    <t>Hores de disponibilitat anuals</t>
  </si>
  <si>
    <t>El nou conveni estableixen article 38 h) un permís retribuït anyal de</t>
  </si>
  <si>
    <t xml:space="preserve">SUPOSITS </t>
  </si>
  <si>
    <t>4 ANUALITATS</t>
  </si>
  <si>
    <t>ANUALITAT</t>
  </si>
  <si>
    <t>Columna2</t>
  </si>
  <si>
    <t>increment</t>
  </si>
  <si>
    <t>PAGAMENT</t>
  </si>
  <si>
    <t>COST</t>
  </si>
  <si>
    <t>diferencia</t>
  </si>
  <si>
    <t>SUPOSIT increment %</t>
  </si>
  <si>
    <t>total</t>
  </si>
  <si>
    <t>INICI PRESTACIÓ GENER 2020 EL CONTRACTE</t>
  </si>
  <si>
    <t>EXECUCIÓ CONTRACTE</t>
  </si>
  <si>
    <t>VEC</t>
  </si>
  <si>
    <t>LICITACIÓ</t>
  </si>
  <si>
    <t>Despesa global del servei</t>
  </si>
  <si>
    <t>Subtotal Despeses per preu global</t>
  </si>
  <si>
    <t>preu unitari</t>
  </si>
  <si>
    <t>Despeses per preu unitari</t>
  </si>
  <si>
    <t>Subtotal Despeses per preus unitaris</t>
  </si>
  <si>
    <t>Preu base de licitació</t>
  </si>
  <si>
    <t>Preu total del contracte</t>
  </si>
  <si>
    <t>AMPLIACIONS</t>
  </si>
  <si>
    <t>MODIFICACIONS</t>
  </si>
  <si>
    <t>licitació</t>
  </si>
  <si>
    <t>UNITAT</t>
  </si>
  <si>
    <t>SERVEI D'INTERPRETACIÓ</t>
  </si>
  <si>
    <t>Any</t>
  </si>
  <si>
    <t>meses</t>
  </si>
  <si>
    <t>C. Orgànic.</t>
  </si>
  <si>
    <t>C Econòmic</t>
  </si>
  <si>
    <t>Programa</t>
  </si>
  <si>
    <t xml:space="preserve">Import net € </t>
  </si>
  <si>
    <t>% IVA</t>
  </si>
  <si>
    <t>Import IVA</t>
  </si>
  <si>
    <t>Import total €</t>
  </si>
  <si>
    <t>VE prestació</t>
  </si>
  <si>
    <t>VE de les prorrogues</t>
  </si>
  <si>
    <t>SUMA</t>
  </si>
  <si>
    <t>Total</t>
  </si>
  <si>
    <t>PROVISIÓ PER DESPESES DERIVADES DE SITUACIONS D'URGENCIA (A JUSTIFICAR)</t>
  </si>
  <si>
    <t>NECESSITATS DE SERVEI HABITUAL</t>
  </si>
  <si>
    <t xml:space="preserve">Per equips referenciats per districtes i d'intervenció </t>
  </si>
  <si>
    <t>MODUL 8h.</t>
  </si>
  <si>
    <t>MODUL 2h.</t>
  </si>
  <si>
    <t>SERVEI D'ASSESSORAMENT JURIDIC EXPERT</t>
  </si>
  <si>
    <t>SERVEI DE DETECCIÓ I INTERVENCIÓ AMB INFANTS, ADOLESCENT I JOVES MIGRANTS SOLS (MENAS)</t>
  </si>
  <si>
    <t>Despeses per preu unitari (EN FUNCIÓ DE LES NECESSITATS DEL SERVEI</t>
  </si>
  <si>
    <t>HORES</t>
  </si>
  <si>
    <t>SERVEI D'INTERVENCIÓ EN DISPOSITIUS D'ATENCIÓ IMMEDIATA (SIDAI)</t>
  </si>
  <si>
    <t xml:space="preserve"> SERVEI D'INTERVENCIÓ EN DISPOSITIUS D'ATENCIÓ IMMEDIATA (SIDAI)</t>
  </si>
  <si>
    <t>mesos</t>
  </si>
  <si>
    <t>NECESSITAT ANUAL</t>
  </si>
  <si>
    <t>SOTSDIRECCIÓ</t>
  </si>
  <si>
    <t>GRUP II</t>
  </si>
  <si>
    <t>GRUP I</t>
  </si>
  <si>
    <t>GRUP III</t>
  </si>
  <si>
    <t>PERSONAL TÈCNIC SUPERIOR (INTEGRADORS SOCIALS, CICLES FORMATIU GRAU SUPERIOR=</t>
  </si>
  <si>
    <t>LLICENCIATS - TÈCNIC SUPERIOS GRADUAT (ACTUAL DIPLOMATS)</t>
  </si>
  <si>
    <t>PERSONAL TÈCNIC (CICLES FORMATIU GRAU MIG)</t>
  </si>
  <si>
    <t xml:space="preserve">GRUP IV </t>
  </si>
  <si>
    <t>PERSONAL DE SERVEIS (TELEFONISTA, PERSONAL DE NETEJA, ORDENANCES, CONSERGES, ETC)</t>
  </si>
  <si>
    <t>COMPLEMENTS NO ACTUALITZATS</t>
  </si>
  <si>
    <t>LA VALORACIÓ DE COSTOS S'HA FET TENIM EN COMPTE LES ÚLTIMES TAULES SALARIALS APROVADES QUE SÓN DE 205</t>
  </si>
  <si>
    <t>Direcció i Coordinació del servei</t>
  </si>
  <si>
    <t>Direcció del servei</t>
  </si>
  <si>
    <t>Tècnics/ques superiors graduats per equip d'intervenció social a l'espai urbà (amb suplències)</t>
  </si>
  <si>
    <t>Suport tècnic a la direcció (suport tècnic graduat)</t>
  </si>
  <si>
    <t>Suport tècnic per a projectes especifics (suport tècnic graduat)</t>
  </si>
  <si>
    <t xml:space="preserve"> </t>
  </si>
  <si>
    <t xml:space="preserve">Subdirecció, amb funcions de coordinació equip </t>
  </si>
  <si>
    <t>Tècnics/ques superiors graduats per equip d'intervenció social a l'espai urbà (amb suplències) (amb formació en psicologia)</t>
  </si>
  <si>
    <t>PRORROGA 2026</t>
  </si>
  <si>
    <t>PRORROGA 2027</t>
  </si>
  <si>
    <t>PRORROGA 2028</t>
  </si>
  <si>
    <t>PROVISIÓ PER DESPESES DERIVADES DE LES NECESSITATS COMUNIATIVES DEL SERVEI AMB ELS JOVES ALS QUE VA DIRIGIT EL SERVEI (A JUSTIFICAR)</t>
  </si>
  <si>
    <t>GESTIÓ DEL SERVEI DE DETECCIÓ I INTERVENCIÓ AMB INFANTS, ADOLESCENT I JOVES MIGRANTS SOLS (SDI ANTICS MENAS)</t>
  </si>
  <si>
    <t>PRORROGA 2025</t>
  </si>
  <si>
    <t>Categoria Professional (segons la nova qualificació de conveni signat 2023)</t>
  </si>
  <si>
    <t>Necessitat total d'hores efectives/any</t>
  </si>
  <si>
    <t>Professionals necessaris</t>
  </si>
  <si>
    <t>Retribució salarial mínima total bruta anual 2024</t>
  </si>
  <si>
    <t>Director/a de Servei</t>
  </si>
  <si>
    <t xml:space="preserve">     </t>
  </si>
  <si>
    <t>Direcció de centre, servei o programa</t>
  </si>
  <si>
    <t>Grup 1 Punt 1.1</t>
  </si>
  <si>
    <t>Grup 1 Punt 1.2</t>
  </si>
  <si>
    <t>Grup 2</t>
  </si>
  <si>
    <t>Tècnics/ques superiors graduats per equips transversals i especialitzats d’intervenció social a l’espai urbà</t>
  </si>
  <si>
    <t>PERIODE CONTRACTE: DE 1 DE DESEMBRE DE 2024 a 30 de novembre de 2025 MÉS POSIBILITAT DE PRORROGA DE 36 MESES</t>
  </si>
  <si>
    <t>Coordinadors/es d’equips</t>
  </si>
  <si>
    <t>Codi</t>
  </si>
  <si>
    <t>Descripció</t>
  </si>
  <si>
    <t>Quantitat estimada</t>
  </si>
  <si>
    <t>Preu u/t Sortida</t>
  </si>
  <si>
    <t>Import sortida</t>
  </si>
  <si>
    <t>Preu u/t  Proveïdor</t>
  </si>
  <si>
    <t>Import  Proveïdor</t>
  </si>
  <si>
    <t xml:space="preserve">Despeses per preu GLOBAL </t>
  </si>
  <si>
    <t>Preu GLOBAL</t>
  </si>
  <si>
    <t>Subtotal preu GLOBAL</t>
  </si>
  <si>
    <t>Subtotal preu global proveidor</t>
  </si>
  <si>
    <t xml:space="preserve">Despeses per preu UNITARI </t>
  </si>
  <si>
    <t>PREU UNITARI</t>
  </si>
  <si>
    <t>Subtotal provisions</t>
  </si>
  <si>
    <t>IMPORT:</t>
  </si>
  <si>
    <t xml:space="preserve">IMPORT:                    </t>
  </si>
  <si>
    <t>IVA (10 %)  s/ BI</t>
  </si>
  <si>
    <t>TOTAL:</t>
  </si>
  <si>
    <t xml:space="preserve">TOTAL PROVEIDOR: </t>
  </si>
  <si>
    <t>Barcelona, en la data de signatura</t>
  </si>
  <si>
    <t>Servei d'assessorament jurídic expert</t>
  </si>
  <si>
    <t>Servei d'interpretació</t>
  </si>
  <si>
    <t xml:space="preserve">PER DESPESES DERIVADES DE SITUACIONS D'URGENCIA
</t>
  </si>
  <si>
    <t>PBL</t>
  </si>
  <si>
    <t>VE modificacions amb increment del cost econòmic
Art. 204 LCSP
10%</t>
  </si>
  <si>
    <t>10% sense provisions</t>
  </si>
  <si>
    <t>VE modificacions amb increment del cost econòmic
Art. 204 LCSP
20%</t>
  </si>
  <si>
    <t>20% sense provisions</t>
  </si>
  <si>
    <t>Només del numero de mòduls</t>
  </si>
  <si>
    <t>EXP P2400011 ANNEX-3 BIS</t>
  </si>
  <si>
    <t>Despeses per PROVISIONS</t>
  </si>
  <si>
    <t xml:space="preserve"> Subtotal provisions de proveidor </t>
  </si>
  <si>
    <t>PER DESPESES DERIVADES DE LES NECESSITATS COMUNICATIVES DEL SERVEI AMB ELS JOVES ALS QUE VA DIRIGIT EL SERVEI</t>
  </si>
  <si>
    <t>* El present annex s'ha de presentar en format pdf i degudament signat.</t>
  </si>
  <si>
    <t>Total provisió per aquest concepte</t>
  </si>
  <si>
    <t>Servei d'intervenció en disposisitus d'atenció immediata (SIDAI)</t>
  </si>
  <si>
    <t xml:space="preserve">CONTRACTE DE GESTIÓ DEL SERVEI DE DETECCIÓ I INTERVENCIÓ AMB INFANTS, ADOLESCENTS I JOVES MIGRANTS SOLS (SDI) </t>
  </si>
  <si>
    <t>Subtotal preus UNITARIS</t>
  </si>
  <si>
    <t>Les quantitats indicades en aquest annex com a preu global net així com cadascun dels preus unitaris nets determinats constitueixen la xifra màxima per sobre de la qual s'estimarà que les ofertes dels licitadors excedeixen el tipus de licitació i, per tant, seran excloses. Les despeses per provisions fixades en el present annex són quantitats fixes sobre les quals no es poden ofertar baixes licitatòries.</t>
  </si>
  <si>
    <t>Subtotal preus unitaris proveidor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</si>
</sst>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4" formatCode="_-* #,##0.00\ &quot;€&quot;_-;\-* #,##0.00\ &quot;€&quot;_-;_-* &quot;-&quot;??\ &quot;€&quot;_-;_-@_-"/>
    <numFmt numFmtId="43" formatCode="_-* #,##0.00\ _€_-;\-* #,##0.00\ _€_-;_-* &quot;-&quot;??\ _€_-;_-@_-"/>
    <numFmt numFmtId="164" formatCode="#,##0.00\ &quot;€&quot;"/>
    <numFmt numFmtId="165" formatCode="0.0000"/>
    <numFmt numFmtId="166" formatCode="#,##0.0000\ &quot;€&quot;"/>
    <numFmt numFmtId="167" formatCode="#,##0.0000\ &quot;€&quot;;[Red]\-#,##0.0000\ &quot;€&quot;"/>
    <numFmt numFmtId="168" formatCode="#,##0_);\(#,##0\)"/>
    <numFmt numFmtId="169" formatCode="0.000%"/>
    <numFmt numFmtId="170" formatCode="#,##0.00_);\(#,##0.00\)"/>
    <numFmt numFmtId="171" formatCode="#,##0.000"/>
    <numFmt numFmtId="172" formatCode="0.000"/>
    <numFmt numFmtId="173" formatCode="_-* #,##0.0000\ _€_-;\-* #,##0.0000\ _€_-;_-* &quot;-&quot;??\ _€_-;_-@_-"/>
    <numFmt numFmtId="174" formatCode="_-* #,##0.00\ [$€-403]_-;\-* #,##0.00\ [$€-403]_-;_-* &quot;-&quot;??\ [$€-403]_-;_-@_-"/>
    <numFmt numFmtId="175" formatCode="_-* #,##0.0000000\ [$€-403]_-;\-* #,##0.0000000\ [$€-403]_-;_-* &quot;-&quot;??\ [$€-403]_-;_-@_-"/>
  </numFmts>
  <fonts count="9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b/>
      <sz val="12"/>
      <name val="Arial"/>
      <family val="2"/>
    </font>
    <font>
      <sz val="8"/>
      <name val="Arial"/>
      <family val="2"/>
    </font>
    <font>
      <sz val="10"/>
      <color rgb="FFFF0000"/>
      <name val="Arial"/>
      <family val="2"/>
    </font>
    <font>
      <b/>
      <sz val="10"/>
      <color rgb="FFFF0000"/>
      <name val="Arial"/>
      <family val="2"/>
    </font>
    <font>
      <b/>
      <sz val="16"/>
      <name val="Arial"/>
      <family val="2"/>
    </font>
    <font>
      <sz val="10"/>
      <color rgb="FF0070C0"/>
      <name val="Arial"/>
      <family val="2"/>
    </font>
    <font>
      <b/>
      <sz val="10"/>
      <color rgb="FF0070C0"/>
      <name val="Arial"/>
      <family val="2"/>
    </font>
    <font>
      <b/>
      <sz val="10"/>
      <color rgb="FF00B050"/>
      <name val="Arial"/>
      <family val="2"/>
    </font>
    <font>
      <b/>
      <sz val="12"/>
      <color rgb="FF0070C0"/>
      <name val="Arial"/>
      <family val="2"/>
    </font>
    <font>
      <b/>
      <sz val="12"/>
      <color rgb="FFFF0000"/>
      <name val="Arial"/>
      <family val="2"/>
    </font>
    <font>
      <b/>
      <sz val="12"/>
      <color rgb="FF00B050"/>
      <name val="Arial"/>
      <family val="2"/>
    </font>
    <font>
      <b/>
      <sz val="36"/>
      <name val="Arial"/>
      <family val="2"/>
    </font>
    <font>
      <sz val="36"/>
      <color rgb="FF0070C0"/>
      <name val="Arial"/>
      <family val="2"/>
    </font>
    <font>
      <b/>
      <sz val="36"/>
      <color rgb="FF0070C0"/>
      <name val="Arial"/>
      <family val="2"/>
    </font>
    <font>
      <sz val="36"/>
      <name val="Arial"/>
      <family val="2"/>
    </font>
    <font>
      <sz val="36"/>
      <color rgb="FFFF0000"/>
      <name val="Arial"/>
      <family val="2"/>
    </font>
    <font>
      <b/>
      <sz val="36"/>
      <color rgb="FFFF0000"/>
      <name val="Arial"/>
      <family val="2"/>
    </font>
    <font>
      <b/>
      <sz val="36"/>
      <color rgb="FF00B050"/>
      <name val="Arial"/>
      <family val="2"/>
    </font>
    <font>
      <b/>
      <sz val="16"/>
      <color rgb="FF0070C0"/>
      <name val="Arial"/>
      <family val="2"/>
    </font>
    <font>
      <b/>
      <sz val="16"/>
      <color rgb="FF00B050"/>
      <name val="Arial"/>
      <family val="2"/>
    </font>
    <font>
      <b/>
      <sz val="16"/>
      <color rgb="FFFF0000"/>
      <name val="Arial"/>
      <family val="2"/>
    </font>
    <font>
      <b/>
      <sz val="14"/>
      <color theme="0"/>
      <name val="Arial"/>
      <family val="2"/>
    </font>
    <font>
      <sz val="14"/>
      <color theme="0"/>
      <name val="Arial"/>
      <family val="2"/>
    </font>
    <font>
      <sz val="11"/>
      <color rgb="FF000000"/>
      <name val="Calibri"/>
      <family val="2"/>
    </font>
    <font>
      <i/>
      <sz val="10"/>
      <color rgb="FF000000"/>
      <name val="Calibri"/>
      <family val="2"/>
      <scheme val="minor"/>
    </font>
    <font>
      <i/>
      <sz val="10"/>
      <name val="Calibri"/>
      <family val="2"/>
      <scheme val="minor"/>
    </font>
    <font>
      <b/>
      <i/>
      <sz val="10"/>
      <name val="Calibri"/>
      <family val="2"/>
      <scheme val="minor"/>
    </font>
    <font>
      <b/>
      <sz val="11"/>
      <color rgb="FF000000"/>
      <name val="Calibri"/>
      <family val="2"/>
    </font>
    <font>
      <b/>
      <sz val="11"/>
      <name val="Arial"/>
      <family val="2"/>
    </font>
    <font>
      <sz val="26"/>
      <color rgb="FFFF0000"/>
      <name val="Arial"/>
      <family val="2"/>
    </font>
    <font>
      <sz val="11"/>
      <color rgb="FF0070C0"/>
      <name val="Calibri"/>
      <family val="2"/>
      <scheme val="minor"/>
    </font>
    <font>
      <sz val="10"/>
      <color rgb="FF0070C0"/>
      <name val="Calibri"/>
      <family val="2"/>
      <scheme val="minor"/>
    </font>
    <font>
      <sz val="16"/>
      <name val="Arial"/>
      <family val="2"/>
    </font>
    <font>
      <b/>
      <sz val="8"/>
      <name val="Arial"/>
      <family val="2"/>
    </font>
    <font>
      <sz val="10"/>
      <name val="Arial"/>
      <family val="2"/>
    </font>
    <font>
      <b/>
      <sz val="11"/>
      <color theme="1"/>
      <name val="Calibri"/>
      <family val="2"/>
      <scheme val="minor"/>
    </font>
    <font>
      <sz val="8"/>
      <color theme="1"/>
      <name val="Arial"/>
      <family val="2"/>
    </font>
    <font>
      <b/>
      <sz val="20"/>
      <name val="Arial"/>
      <family val="2"/>
    </font>
    <font>
      <b/>
      <sz val="11"/>
      <name val="Calibri"/>
      <family val="2"/>
      <scheme val="minor"/>
    </font>
    <font>
      <sz val="11"/>
      <name val="Calibri"/>
      <family val="2"/>
      <scheme val="minor"/>
    </font>
    <font>
      <b/>
      <sz val="10"/>
      <name val="DINPro-Regular"/>
      <family val="3"/>
    </font>
    <font>
      <sz val="10"/>
      <name val="DINPro-Regular"/>
      <family val="3"/>
    </font>
    <font>
      <b/>
      <sz val="14"/>
      <name val="DINPro-Regular"/>
      <family val="3"/>
    </font>
    <font>
      <b/>
      <sz val="10"/>
      <color rgb="FFFF0000"/>
      <name val="DINPro-Regular"/>
      <family val="3"/>
    </font>
    <font>
      <sz val="14"/>
      <name val="DINPro-Regular"/>
      <family val="3"/>
    </font>
    <font>
      <sz val="14"/>
      <name val="Calibri"/>
      <family val="2"/>
      <scheme val="minor"/>
    </font>
    <font>
      <b/>
      <sz val="8"/>
      <color theme="1"/>
      <name val="Verdana"/>
      <family val="2"/>
    </font>
    <font>
      <sz val="11"/>
      <name val="Arial"/>
      <family val="2"/>
    </font>
    <font>
      <sz val="8"/>
      <color theme="1"/>
      <name val="Verdana"/>
      <family val="2"/>
    </font>
    <font>
      <b/>
      <sz val="8"/>
      <color rgb="FF000000"/>
      <name val="Arial"/>
      <family val="2"/>
    </font>
    <font>
      <b/>
      <i/>
      <sz val="10"/>
      <color rgb="FF000000"/>
      <name val="Arial"/>
      <family val="2"/>
    </font>
    <font>
      <b/>
      <i/>
      <sz val="8"/>
      <color rgb="FF000000"/>
      <name val="Arial"/>
      <family val="2"/>
    </font>
    <font>
      <sz val="8"/>
      <color rgb="FF000000"/>
      <name val="Arial"/>
      <family val="2"/>
    </font>
    <font>
      <b/>
      <sz val="10"/>
      <color theme="1"/>
      <name val="Arial"/>
      <family val="2"/>
    </font>
    <font>
      <sz val="11"/>
      <color theme="1"/>
      <name val="Calibri"/>
      <family val="2"/>
    </font>
    <font>
      <sz val="10"/>
      <color theme="1"/>
      <name val="Calibri"/>
      <family val="2"/>
    </font>
    <font>
      <b/>
      <sz val="8"/>
      <color rgb="FFFF0000"/>
      <name val="Verdana"/>
      <family val="2"/>
    </font>
    <font>
      <b/>
      <sz val="8"/>
      <color theme="1"/>
      <name val="Arial"/>
      <family val="2"/>
    </font>
    <font>
      <b/>
      <sz val="9"/>
      <color theme="1"/>
      <name val="Arial"/>
      <family val="2"/>
    </font>
    <font>
      <sz val="8"/>
      <color theme="1"/>
      <name val="Calibri"/>
      <family val="2"/>
    </font>
    <font>
      <b/>
      <sz val="8"/>
      <color theme="1"/>
      <name val="Calibri"/>
      <family val="2"/>
    </font>
    <font>
      <b/>
      <sz val="8"/>
      <name val="Verdana"/>
      <family val="2"/>
    </font>
    <font>
      <b/>
      <sz val="10"/>
      <name val="Calibri"/>
      <family val="2"/>
    </font>
    <font>
      <b/>
      <sz val="10"/>
      <color rgb="FF000000"/>
      <name val="Calibri"/>
      <family val="2"/>
    </font>
    <font>
      <sz val="10"/>
      <name val="Calibri"/>
      <family val="2"/>
    </font>
    <font>
      <sz val="10"/>
      <color rgb="FF000000"/>
      <name val="Calibri"/>
      <family val="2"/>
    </font>
    <font>
      <b/>
      <sz val="10"/>
      <name val="Calibri"/>
      <family val="2"/>
      <scheme val="minor"/>
    </font>
    <font>
      <i/>
      <sz val="11"/>
      <name val="Arial"/>
      <family val="2"/>
    </font>
    <font>
      <sz val="10"/>
      <color theme="1"/>
      <name val="Arial"/>
      <family val="2"/>
    </font>
    <font>
      <sz val="10"/>
      <name val="Arial"/>
      <family val="2"/>
    </font>
    <font>
      <b/>
      <sz val="24"/>
      <name val="Calibri"/>
      <family val="2"/>
      <scheme val="minor"/>
    </font>
    <font>
      <b/>
      <sz val="20"/>
      <name val="Calibri"/>
      <family val="2"/>
      <scheme val="minor"/>
    </font>
    <font>
      <sz val="9"/>
      <color theme="1"/>
      <name val="Calibri"/>
      <family val="2"/>
      <scheme val="minor"/>
    </font>
    <font>
      <b/>
      <sz val="9"/>
      <name val="Calibri"/>
      <family val="2"/>
      <scheme val="minor"/>
    </font>
    <font>
      <sz val="9"/>
      <name val="Calibri"/>
      <family val="2"/>
      <scheme val="minor"/>
    </font>
    <font>
      <b/>
      <sz val="9"/>
      <color theme="1"/>
      <name val="Calibri"/>
      <family val="2"/>
      <scheme val="minor"/>
    </font>
    <font>
      <b/>
      <sz val="10"/>
      <color theme="1"/>
      <name val="Calibri"/>
      <family val="2"/>
      <scheme val="minor"/>
    </font>
    <font>
      <b/>
      <sz val="10"/>
      <color theme="1"/>
      <name val="Verdana"/>
      <family val="2"/>
    </font>
    <font>
      <b/>
      <sz val="10"/>
      <color rgb="FFFF0000"/>
      <name val="Calibri"/>
      <family val="2"/>
      <scheme val="minor"/>
    </font>
    <font>
      <b/>
      <sz val="11"/>
      <color rgb="FFFF0000"/>
      <name val="Calibri"/>
      <family val="2"/>
      <scheme val="minor"/>
    </font>
    <font>
      <b/>
      <sz val="12"/>
      <color rgb="FF000000"/>
      <name val="Times New Roman"/>
      <family val="1"/>
    </font>
    <font>
      <sz val="9"/>
      <color indexed="81"/>
      <name val="Tahoma"/>
      <charset val="1"/>
    </font>
    <font>
      <b/>
      <sz val="9"/>
      <color indexed="81"/>
      <name val="Tahoma"/>
      <charset val="1"/>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bgColor indexed="64"/>
      </patternFill>
    </fill>
    <fill>
      <patternFill patternType="solid">
        <fgColor rgb="FFFFC000"/>
        <bgColor indexed="64"/>
      </patternFill>
    </fill>
    <fill>
      <patternFill patternType="solid">
        <fgColor rgb="FF92D050"/>
        <bgColor indexed="64"/>
      </patternFill>
    </fill>
    <fill>
      <patternFill patternType="solid">
        <fgColor rgb="FFC2D69A"/>
        <bgColor indexed="64"/>
      </patternFill>
    </fill>
    <fill>
      <patternFill patternType="solid">
        <fgColor rgb="FFEAF1DD"/>
        <bgColor indexed="64"/>
      </patternFill>
    </fill>
    <fill>
      <patternFill patternType="solid">
        <fgColor rgb="FFD7E4BC"/>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51"/>
        <bgColor indexed="64"/>
      </patternFill>
    </fill>
    <fill>
      <patternFill patternType="solid">
        <fgColor theme="6" tint="0.39997558519241921"/>
        <bgColor indexed="64"/>
      </patternFill>
    </fill>
  </fills>
  <borders count="79">
    <border>
      <left/>
      <right/>
      <top/>
      <bottom/>
      <diagonal/>
    </border>
    <border>
      <left style="double">
        <color indexed="64"/>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top style="medium">
        <color indexed="64"/>
      </top>
      <bottom style="medium">
        <color indexed="64"/>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medium">
        <color indexed="64"/>
      </right>
      <top/>
      <bottom/>
      <diagonal/>
    </border>
    <border>
      <left/>
      <right style="double">
        <color indexed="64"/>
      </right>
      <top style="double">
        <color indexed="64"/>
      </top>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style="thick">
        <color indexed="64"/>
      </bottom>
      <diagonal/>
    </border>
    <border>
      <left/>
      <right style="thick">
        <color indexed="64"/>
      </right>
      <top/>
      <bottom/>
      <diagonal/>
    </border>
    <border>
      <left/>
      <right/>
      <top style="thin">
        <color indexed="64"/>
      </top>
      <bottom/>
      <diagonal/>
    </border>
    <border>
      <left/>
      <right style="medium">
        <color indexed="64"/>
      </right>
      <top style="double">
        <color indexed="64"/>
      </top>
      <bottom/>
      <diagonal/>
    </border>
    <border>
      <left style="double">
        <color indexed="64"/>
      </left>
      <right style="medium">
        <color indexed="64"/>
      </right>
      <top style="thick">
        <color indexed="64"/>
      </top>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double">
        <color indexed="64"/>
      </right>
      <top style="thick">
        <color indexed="64"/>
      </top>
      <bottom/>
      <diagonal/>
    </border>
    <border>
      <left style="double">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style="double">
        <color indexed="64"/>
      </right>
      <top/>
      <bottom style="thick">
        <color indexed="64"/>
      </bottom>
      <diagonal/>
    </border>
    <border>
      <left style="double">
        <color indexed="64"/>
      </left>
      <right style="medium">
        <color indexed="64"/>
      </right>
      <top/>
      <bottom/>
      <diagonal/>
    </border>
    <border>
      <left/>
      <right style="double">
        <color indexed="64"/>
      </right>
      <top/>
      <bottom/>
      <diagonal/>
    </border>
    <border>
      <left style="medium">
        <color indexed="64"/>
      </left>
      <right style="double">
        <color indexed="64"/>
      </right>
      <top style="thick">
        <color indexed="64"/>
      </top>
      <bottom/>
      <diagonal/>
    </border>
    <border>
      <left/>
      <right style="medium">
        <color indexed="64"/>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thin">
        <color auto="1"/>
      </right>
      <top style="thick">
        <color auto="1"/>
      </top>
      <bottom style="thin">
        <color auto="1"/>
      </bottom>
      <diagonal/>
    </border>
    <border>
      <left style="double">
        <color indexed="64"/>
      </left>
      <right style="thin">
        <color auto="1"/>
      </right>
      <top style="thin">
        <color auto="1"/>
      </top>
      <bottom style="thick">
        <color auto="1"/>
      </bottom>
      <diagonal/>
    </border>
    <border>
      <left style="double">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double">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s>
  <cellStyleXfs count="26">
    <xf numFmtId="0" fontId="0" fillId="0" borderId="0"/>
    <xf numFmtId="0" fontId="6" fillId="0" borderId="0"/>
    <xf numFmtId="9" fontId="42" fillId="0" borderId="0" applyFont="0" applyFill="0" applyBorder="0" applyAlignment="0" applyProtection="0"/>
    <xf numFmtId="0" fontId="4" fillId="0" borderId="0"/>
    <xf numFmtId="43" fontId="4"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0" fontId="6" fillId="0" borderId="0"/>
    <xf numFmtId="0" fontId="4" fillId="0" borderId="0"/>
    <xf numFmtId="0" fontId="76" fillId="0" borderId="0"/>
    <xf numFmtId="0" fontId="4" fillId="0" borderId="0"/>
    <xf numFmtId="0" fontId="6" fillId="0" borderId="0"/>
    <xf numFmtId="0" fontId="6" fillId="0" borderId="0"/>
    <xf numFmtId="0" fontId="6" fillId="0" borderId="0"/>
    <xf numFmtId="9" fontId="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7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522">
    <xf numFmtId="0" fontId="0" fillId="0" borderId="0" xfId="0"/>
    <xf numFmtId="0" fontId="5" fillId="0" borderId="0" xfId="0" applyFont="1" applyAlignment="1">
      <alignment horizontal="center"/>
    </xf>
    <xf numFmtId="0" fontId="5" fillId="0" borderId="0" xfId="0" applyFont="1"/>
    <xf numFmtId="0" fontId="6" fillId="0" borderId="0" xfId="0" applyFont="1"/>
    <xf numFmtId="164" fontId="0" fillId="0" borderId="0" xfId="0" applyNumberFormat="1"/>
    <xf numFmtId="0" fontId="0" fillId="0" borderId="0" xfId="0" applyAlignment="1">
      <alignment horizontal="center"/>
    </xf>
    <xf numFmtId="3" fontId="0" fillId="0" borderId="0" xfId="0" applyNumberFormat="1" applyAlignment="1">
      <alignment horizontal="center"/>
    </xf>
    <xf numFmtId="164" fontId="0" fillId="0" borderId="16" xfId="0" applyNumberFormat="1" applyBorder="1"/>
    <xf numFmtId="0" fontId="5" fillId="0" borderId="9" xfId="0" applyFont="1" applyBorder="1"/>
    <xf numFmtId="3" fontId="5" fillId="0" borderId="10" xfId="0" applyNumberFormat="1" applyFont="1" applyBorder="1" applyAlignment="1">
      <alignment horizontal="center"/>
    </xf>
    <xf numFmtId="0" fontId="6" fillId="0" borderId="13" xfId="0" applyFont="1" applyBorder="1" applyAlignment="1">
      <alignment vertical="center" wrapText="1"/>
    </xf>
    <xf numFmtId="0" fontId="0" fillId="0" borderId="0" xfId="0" applyAlignment="1">
      <alignment vertical="center" wrapText="1"/>
    </xf>
    <xf numFmtId="164" fontId="6" fillId="0" borderId="13" xfId="0" applyNumberFormat="1" applyFont="1" applyBorder="1" applyAlignment="1">
      <alignment wrapText="1"/>
    </xf>
    <xf numFmtId="0" fontId="10" fillId="0" borderId="0" xfId="0" applyFont="1"/>
    <xf numFmtId="0" fontId="10" fillId="0" borderId="0" xfId="0" applyFont="1" applyAlignment="1">
      <alignment horizontal="center"/>
    </xf>
    <xf numFmtId="3" fontId="11" fillId="0" borderId="10" xfId="0" applyNumberFormat="1" applyFont="1" applyBorder="1" applyAlignment="1">
      <alignment horizontal="center"/>
    </xf>
    <xf numFmtId="3" fontId="10" fillId="0" borderId="0" xfId="0" applyNumberFormat="1" applyFont="1" applyAlignment="1">
      <alignment horizontal="center"/>
    </xf>
    <xf numFmtId="0" fontId="10" fillId="0" borderId="13" xfId="0" applyFont="1" applyBorder="1" applyAlignment="1">
      <alignment vertical="center" wrapText="1"/>
    </xf>
    <xf numFmtId="164" fontId="10" fillId="0" borderId="16" xfId="0" applyNumberFormat="1" applyFont="1" applyBorder="1"/>
    <xf numFmtId="164" fontId="10" fillId="0" borderId="13" xfId="0" applyNumberFormat="1" applyFont="1" applyBorder="1" applyAlignment="1">
      <alignment wrapText="1"/>
    </xf>
    <xf numFmtId="164" fontId="10" fillId="0" borderId="0" xfId="0" applyNumberFormat="1" applyFont="1"/>
    <xf numFmtId="0" fontId="13" fillId="0" borderId="0" xfId="0" applyFont="1"/>
    <xf numFmtId="0" fontId="13" fillId="0" borderId="0" xfId="0" applyFont="1" applyAlignment="1">
      <alignment horizontal="center"/>
    </xf>
    <xf numFmtId="3" fontId="14" fillId="0" borderId="10" xfId="0" applyNumberFormat="1" applyFont="1" applyBorder="1" applyAlignment="1">
      <alignment horizontal="center"/>
    </xf>
    <xf numFmtId="3" fontId="13" fillId="0" borderId="0" xfId="0" applyNumberFormat="1" applyFont="1" applyAlignment="1">
      <alignment horizontal="center"/>
    </xf>
    <xf numFmtId="0" fontId="13" fillId="0" borderId="13" xfId="0" applyFont="1" applyBorder="1" applyAlignment="1">
      <alignment vertical="center" wrapText="1"/>
    </xf>
    <xf numFmtId="164" fontId="13" fillId="0" borderId="16" xfId="0" applyNumberFormat="1" applyFont="1" applyBorder="1"/>
    <xf numFmtId="164" fontId="13" fillId="0" borderId="13" xfId="0" applyNumberFormat="1" applyFont="1" applyBorder="1" applyAlignment="1">
      <alignment wrapText="1"/>
    </xf>
    <xf numFmtId="164" fontId="13" fillId="0" borderId="0" xfId="0" applyNumberFormat="1" applyFont="1"/>
    <xf numFmtId="0" fontId="15" fillId="0" borderId="0" xfId="0" applyFont="1"/>
    <xf numFmtId="0" fontId="15" fillId="0" borderId="0" xfId="0" applyFont="1" applyAlignment="1">
      <alignment horizontal="center"/>
    </xf>
    <xf numFmtId="3" fontId="15" fillId="0" borderId="0" xfId="0" applyNumberFormat="1" applyFont="1" applyAlignment="1">
      <alignment horizontal="center"/>
    </xf>
    <xf numFmtId="164" fontId="15" fillId="0" borderId="17" xfId="0" applyNumberFormat="1" applyFont="1" applyBorder="1"/>
    <xf numFmtId="164" fontId="15" fillId="0" borderId="14" xfId="0" applyNumberFormat="1" applyFont="1" applyBorder="1" applyAlignment="1">
      <alignment wrapText="1"/>
    </xf>
    <xf numFmtId="164" fontId="15" fillId="0" borderId="0" xfId="0" applyNumberFormat="1" applyFont="1"/>
    <xf numFmtId="0" fontId="8" fillId="0" borderId="0" xfId="0" applyFont="1"/>
    <xf numFmtId="164" fontId="13" fillId="0" borderId="10" xfId="0" applyNumberFormat="1" applyFont="1" applyBorder="1"/>
    <xf numFmtId="164" fontId="0" fillId="0" borderId="10" xfId="0" applyNumberFormat="1" applyBorder="1"/>
    <xf numFmtId="164" fontId="10" fillId="0" borderId="10" xfId="0" applyNumberFormat="1" applyFont="1" applyBorder="1"/>
    <xf numFmtId="164" fontId="15" fillId="0" borderId="11" xfId="0" applyNumberFormat="1" applyFont="1" applyBorder="1"/>
    <xf numFmtId="0" fontId="6" fillId="0" borderId="9" xfId="0" applyFont="1" applyBorder="1" applyAlignment="1">
      <alignment horizontal="right"/>
    </xf>
    <xf numFmtId="0" fontId="6" fillId="0" borderId="0" xfId="0" applyFont="1" applyAlignment="1">
      <alignment horizontal="right"/>
    </xf>
    <xf numFmtId="3" fontId="14" fillId="0" borderId="0" xfId="0" applyNumberFormat="1" applyFont="1" applyAlignment="1">
      <alignment horizontal="center"/>
    </xf>
    <xf numFmtId="3" fontId="5" fillId="0" borderId="0" xfId="0" applyNumberFormat="1" applyFont="1" applyAlignment="1">
      <alignment horizontal="center"/>
    </xf>
    <xf numFmtId="3" fontId="11" fillId="0" borderId="0" xfId="0" applyNumberFormat="1" applyFont="1" applyAlignment="1">
      <alignment horizontal="center"/>
    </xf>
    <xf numFmtId="3" fontId="15" fillId="0" borderId="22" xfId="0" applyNumberFormat="1" applyFont="1" applyBorder="1" applyAlignment="1">
      <alignment horizontal="center"/>
    </xf>
    <xf numFmtId="0" fontId="15" fillId="0" borderId="19" xfId="0" applyFont="1" applyBorder="1" applyAlignment="1">
      <alignment vertical="center" wrapText="1"/>
    </xf>
    <xf numFmtId="164" fontId="15" fillId="0" borderId="20" xfId="0" applyNumberFormat="1" applyFont="1" applyBorder="1"/>
    <xf numFmtId="0" fontId="5" fillId="0" borderId="0" xfId="0" applyFont="1" applyAlignment="1">
      <alignment horizontal="right"/>
    </xf>
    <xf numFmtId="0" fontId="16" fillId="0" borderId="0" xfId="0" applyFont="1"/>
    <xf numFmtId="0" fontId="16" fillId="0" borderId="0" xfId="0" applyFont="1" applyAlignment="1">
      <alignment horizontal="center"/>
    </xf>
    <xf numFmtId="3" fontId="16" fillId="0" borderId="10" xfId="0" applyNumberFormat="1" applyFont="1" applyBorder="1" applyAlignment="1">
      <alignment horizontal="center"/>
    </xf>
    <xf numFmtId="3" fontId="16" fillId="0" borderId="0" xfId="0" applyNumberFormat="1" applyFont="1" applyAlignment="1">
      <alignment horizontal="center"/>
    </xf>
    <xf numFmtId="0" fontId="16" fillId="0" borderId="13" xfId="0" applyFont="1" applyBorder="1" applyAlignment="1">
      <alignment vertical="center" wrapText="1"/>
    </xf>
    <xf numFmtId="164" fontId="16" fillId="0" borderId="16" xfId="0" applyNumberFormat="1" applyFont="1" applyBorder="1"/>
    <xf numFmtId="164" fontId="16" fillId="0" borderId="13" xfId="0" applyNumberFormat="1" applyFont="1" applyBorder="1" applyAlignment="1">
      <alignment wrapText="1"/>
    </xf>
    <xf numFmtId="164" fontId="16" fillId="0" borderId="0" xfId="0" applyNumberFormat="1" applyFont="1"/>
    <xf numFmtId="164" fontId="16" fillId="0" borderId="10" xfId="0" applyNumberFormat="1" applyFont="1" applyBorder="1"/>
    <xf numFmtId="0" fontId="8" fillId="0" borderId="0" xfId="0" applyFont="1" applyAlignment="1">
      <alignment horizontal="center"/>
    </xf>
    <xf numFmtId="3" fontId="8" fillId="0" borderId="10" xfId="0" applyNumberFormat="1" applyFont="1" applyBorder="1" applyAlignment="1">
      <alignment horizontal="center"/>
    </xf>
    <xf numFmtId="3" fontId="8" fillId="0" borderId="0" xfId="0" applyNumberFormat="1" applyFont="1" applyAlignment="1">
      <alignment horizontal="center"/>
    </xf>
    <xf numFmtId="0" fontId="8" fillId="0" borderId="13" xfId="0" applyFont="1" applyBorder="1" applyAlignment="1">
      <alignment vertical="center" wrapText="1"/>
    </xf>
    <xf numFmtId="164" fontId="8" fillId="0" borderId="16" xfId="0" applyNumberFormat="1" applyFont="1" applyBorder="1"/>
    <xf numFmtId="164" fontId="8" fillId="0" borderId="13" xfId="0" applyNumberFormat="1" applyFont="1" applyBorder="1" applyAlignment="1">
      <alignment wrapText="1"/>
    </xf>
    <xf numFmtId="164" fontId="8" fillId="0" borderId="0" xfId="0" applyNumberFormat="1" applyFont="1"/>
    <xf numFmtId="164" fontId="8" fillId="0" borderId="10" xfId="0" applyNumberFormat="1" applyFont="1" applyBorder="1"/>
    <xf numFmtId="0" fontId="17" fillId="0" borderId="0" xfId="0" applyFont="1"/>
    <xf numFmtId="0" fontId="17" fillId="0" borderId="0" xfId="0" applyFont="1" applyAlignment="1">
      <alignment horizontal="center"/>
    </xf>
    <xf numFmtId="3" fontId="17" fillId="0" borderId="18" xfId="0" applyNumberFormat="1" applyFont="1" applyBorder="1" applyAlignment="1">
      <alignment horizontal="center"/>
    </xf>
    <xf numFmtId="3" fontId="17" fillId="0" borderId="0" xfId="0" applyNumberFormat="1" applyFont="1" applyAlignment="1">
      <alignment horizontal="center"/>
    </xf>
    <xf numFmtId="0" fontId="17" fillId="0" borderId="19" xfId="0" applyFont="1" applyBorder="1" applyAlignment="1">
      <alignment vertical="center" wrapText="1"/>
    </xf>
    <xf numFmtId="164" fontId="17" fillId="0" borderId="20" xfId="0" applyNumberFormat="1" applyFont="1" applyBorder="1"/>
    <xf numFmtId="164" fontId="17" fillId="0" borderId="19" xfId="0" applyNumberFormat="1" applyFont="1" applyBorder="1" applyAlignment="1">
      <alignment wrapText="1"/>
    </xf>
    <xf numFmtId="164" fontId="17" fillId="0" borderId="0" xfId="0" applyNumberFormat="1" applyFont="1"/>
    <xf numFmtId="164" fontId="17" fillId="0" borderId="18" xfId="0" applyNumberFormat="1" applyFont="1" applyBorder="1"/>
    <xf numFmtId="0" fontId="18" fillId="0" borderId="0" xfId="0" applyFont="1"/>
    <xf numFmtId="3" fontId="18" fillId="0" borderId="11" xfId="0" applyNumberFormat="1" applyFont="1" applyBorder="1" applyAlignment="1">
      <alignment horizontal="center"/>
    </xf>
    <xf numFmtId="3" fontId="18" fillId="0" borderId="0" xfId="0" applyNumberFormat="1" applyFont="1" applyAlignment="1">
      <alignment horizontal="center"/>
    </xf>
    <xf numFmtId="0" fontId="18" fillId="0" borderId="14" xfId="0" applyFont="1" applyBorder="1" applyAlignment="1">
      <alignment vertical="center" wrapText="1"/>
    </xf>
    <xf numFmtId="164" fontId="18" fillId="0" borderId="17" xfId="0" applyNumberFormat="1" applyFont="1" applyBorder="1"/>
    <xf numFmtId="164" fontId="18" fillId="0" borderId="0" xfId="0" applyNumberFormat="1"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12" fillId="0" borderId="0" xfId="0" applyFont="1"/>
    <xf numFmtId="0" fontId="29" fillId="4" borderId="0" xfId="0" applyFont="1" applyFill="1" applyAlignment="1">
      <alignment horizontal="center"/>
    </xf>
    <xf numFmtId="0" fontId="29" fillId="4" borderId="0" xfId="0" applyFont="1" applyFill="1"/>
    <xf numFmtId="164" fontId="29" fillId="4" borderId="0" xfId="0" applyNumberFormat="1" applyFont="1" applyFill="1"/>
    <xf numFmtId="0" fontId="30" fillId="4" borderId="0" xfId="0" applyFont="1" applyFill="1"/>
    <xf numFmtId="0" fontId="30" fillId="2" borderId="0" xfId="0" applyFont="1" applyFill="1"/>
    <xf numFmtId="0" fontId="0" fillId="0" borderId="0" xfId="0" applyAlignment="1">
      <alignment vertical="center"/>
    </xf>
    <xf numFmtId="0" fontId="5" fillId="0" borderId="33" xfId="0" applyFont="1" applyBorder="1" applyAlignment="1">
      <alignment vertical="center"/>
    </xf>
    <xf numFmtId="164" fontId="5" fillId="0" borderId="34" xfId="0" applyNumberFormat="1" applyFont="1" applyBorder="1" applyAlignment="1">
      <alignment horizontal="center" vertical="center" wrapText="1"/>
    </xf>
    <xf numFmtId="164" fontId="0" fillId="0" borderId="8" xfId="0" applyNumberFormat="1" applyBorder="1" applyAlignment="1">
      <alignment vertical="center"/>
    </xf>
    <xf numFmtId="164" fontId="0" fillId="0" borderId="36" xfId="0" applyNumberFormat="1" applyBorder="1" applyAlignment="1">
      <alignment vertical="center"/>
    </xf>
    <xf numFmtId="164" fontId="34" fillId="0" borderId="8" xfId="0" applyNumberFormat="1" applyFont="1" applyBorder="1" applyAlignment="1">
      <alignment vertical="center"/>
    </xf>
    <xf numFmtId="164" fontId="34" fillId="0" borderId="36" xfId="0" applyNumberFormat="1" applyFont="1" applyBorder="1" applyAlignment="1">
      <alignment vertical="center"/>
    </xf>
    <xf numFmtId="164" fontId="5" fillId="5" borderId="8" xfId="0" applyNumberFormat="1" applyFont="1" applyFill="1" applyBorder="1" applyAlignment="1">
      <alignment vertical="center"/>
    </xf>
    <xf numFmtId="164" fontId="5" fillId="5" borderId="36" xfId="0" applyNumberFormat="1" applyFont="1" applyFill="1" applyBorder="1" applyAlignment="1">
      <alignment vertical="center"/>
    </xf>
    <xf numFmtId="164" fontId="6" fillId="0" borderId="8" xfId="0" applyNumberFormat="1" applyFont="1" applyBorder="1" applyAlignment="1">
      <alignment horizontal="right" vertical="center"/>
    </xf>
    <xf numFmtId="164" fontId="6" fillId="0" borderId="36" xfId="0" applyNumberFormat="1" applyFont="1" applyBorder="1" applyAlignment="1">
      <alignment horizontal="right" vertical="center"/>
    </xf>
    <xf numFmtId="164" fontId="5" fillId="6" borderId="38" xfId="0" applyNumberFormat="1" applyFont="1" applyFill="1" applyBorder="1" applyAlignment="1">
      <alignment horizontal="right" vertical="center"/>
    </xf>
    <xf numFmtId="164" fontId="5" fillId="6" borderId="39" xfId="0" applyNumberFormat="1" applyFont="1" applyFill="1" applyBorder="1" applyAlignment="1">
      <alignment horizontal="right" vertical="center"/>
    </xf>
    <xf numFmtId="0" fontId="7" fillId="0" borderId="32" xfId="0" applyFont="1" applyBorder="1" applyAlignment="1">
      <alignment horizontal="center" vertical="center" wrapText="1"/>
    </xf>
    <xf numFmtId="2" fontId="33" fillId="0" borderId="8" xfId="0" applyNumberFormat="1" applyFont="1" applyBorder="1" applyAlignment="1">
      <alignment vertical="center"/>
    </xf>
    <xf numFmtId="2" fontId="33" fillId="0" borderId="36" xfId="0" applyNumberFormat="1" applyFont="1" applyBorder="1" applyAlignment="1">
      <alignment vertical="center"/>
    </xf>
    <xf numFmtId="0" fontId="9" fillId="0" borderId="0" xfId="0" applyFont="1"/>
    <xf numFmtId="0" fontId="5" fillId="0" borderId="0" xfId="0" applyFont="1" applyAlignment="1">
      <alignment vertical="center"/>
    </xf>
    <xf numFmtId="0" fontId="9" fillId="0" borderId="0" xfId="0" applyFont="1" applyAlignment="1">
      <alignment vertical="center"/>
    </xf>
    <xf numFmtId="164" fontId="39" fillId="0" borderId="8" xfId="0" applyNumberFormat="1" applyFont="1" applyBorder="1" applyAlignment="1">
      <alignment vertical="center"/>
    </xf>
    <xf numFmtId="164" fontId="39" fillId="0" borderId="36" xfId="0" applyNumberFormat="1" applyFont="1" applyBorder="1" applyAlignment="1">
      <alignment vertical="center"/>
    </xf>
    <xf numFmtId="0" fontId="39" fillId="0" borderId="0" xfId="0" applyFont="1"/>
    <xf numFmtId="0" fontId="37" fillId="0" borderId="0" xfId="0" applyFont="1" applyAlignment="1">
      <alignment wrapText="1"/>
    </xf>
    <xf numFmtId="0" fontId="0" fillId="0" borderId="0" xfId="0" applyAlignment="1">
      <alignment wrapText="1"/>
    </xf>
    <xf numFmtId="0" fontId="31" fillId="0" borderId="35" xfId="0" applyFont="1" applyBorder="1" applyAlignment="1">
      <alignment vertical="center" wrapText="1"/>
    </xf>
    <xf numFmtId="0" fontId="32" fillId="0" borderId="35" xfId="0" applyFont="1" applyBorder="1" applyAlignment="1">
      <alignment horizontal="right" vertical="center" wrapText="1"/>
    </xf>
    <xf numFmtId="0" fontId="38" fillId="0" borderId="35" xfId="0" applyFont="1" applyBorder="1" applyAlignment="1">
      <alignment vertical="center" wrapText="1"/>
    </xf>
    <xf numFmtId="0" fontId="35" fillId="5" borderId="35" xfId="0" applyFont="1" applyFill="1" applyBorder="1" applyAlignment="1">
      <alignment vertical="center" wrapText="1"/>
    </xf>
    <xf numFmtId="0" fontId="35" fillId="6" borderId="37" xfId="0"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applyAlignment="1">
      <alignment horizontal="right" vertical="center"/>
    </xf>
    <xf numFmtId="0" fontId="8" fillId="3" borderId="0" xfId="0" applyFont="1" applyFill="1" applyAlignment="1">
      <alignment horizontal="left" vertical="center"/>
    </xf>
    <xf numFmtId="0" fontId="40" fillId="0" borderId="3" xfId="0" applyFont="1" applyBorder="1"/>
    <xf numFmtId="0" fontId="0" fillId="0" borderId="3" xfId="0" applyBorder="1" applyAlignment="1">
      <alignment vertical="center"/>
    </xf>
    <xf numFmtId="0" fontId="6" fillId="0" borderId="3" xfId="0" applyFont="1" applyBorder="1" applyAlignment="1">
      <alignment horizontal="right" vertical="center"/>
    </xf>
    <xf numFmtId="3" fontId="7" fillId="7" borderId="3" xfId="0" applyNumberFormat="1" applyFont="1" applyFill="1" applyBorder="1" applyAlignment="1">
      <alignment horizontal="center" vertical="center"/>
    </xf>
    <xf numFmtId="0" fontId="0" fillId="0" borderId="8" xfId="0" applyBorder="1" applyAlignment="1">
      <alignment horizontal="right" vertical="center"/>
    </xf>
    <xf numFmtId="3" fontId="0" fillId="0" borderId="3" xfId="0" applyNumberFormat="1" applyBorder="1" applyAlignment="1">
      <alignment horizontal="center" vertical="center"/>
    </xf>
    <xf numFmtId="0" fontId="12" fillId="0" borderId="3" xfId="0" applyFont="1" applyBorder="1"/>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3" xfId="0" applyFont="1" applyBorder="1" applyAlignment="1">
      <alignment horizontal="center" vertical="center"/>
    </xf>
    <xf numFmtId="0" fontId="5" fillId="0" borderId="0" xfId="0" applyFont="1" applyAlignment="1">
      <alignment horizontal="center" vertical="center"/>
    </xf>
    <xf numFmtId="2" fontId="0" fillId="0" borderId="0" xfId="0" applyNumberFormat="1"/>
    <xf numFmtId="0" fontId="5" fillId="7" borderId="3" xfId="0" applyFont="1" applyFill="1" applyBorder="1" applyAlignment="1">
      <alignment vertical="center"/>
    </xf>
    <xf numFmtId="0" fontId="6" fillId="0" borderId="3" xfId="0" applyFont="1" applyBorder="1" applyAlignment="1">
      <alignment vertical="center"/>
    </xf>
    <xf numFmtId="4" fontId="5" fillId="0" borderId="0" xfId="0" applyNumberFormat="1" applyFont="1" applyAlignment="1">
      <alignment horizontal="center"/>
    </xf>
    <xf numFmtId="0" fontId="5" fillId="8" borderId="0" xfId="0" applyFont="1" applyFill="1" applyAlignment="1">
      <alignment horizontal="center"/>
    </xf>
    <xf numFmtId="0" fontId="5" fillId="8" borderId="0" xfId="0" applyFont="1" applyFill="1"/>
    <xf numFmtId="4" fontId="5" fillId="8" borderId="0" xfId="0" applyNumberFormat="1" applyFont="1" applyFill="1" applyAlignment="1">
      <alignment horizontal="center"/>
    </xf>
    <xf numFmtId="9" fontId="5" fillId="0" borderId="0" xfId="0" applyNumberFormat="1" applyFont="1" applyAlignment="1">
      <alignment horizontal="center"/>
    </xf>
    <xf numFmtId="9" fontId="6" fillId="0" borderId="0" xfId="2" applyFont="1" applyAlignment="1">
      <alignment horizontal="center"/>
    </xf>
    <xf numFmtId="0" fontId="0" fillId="0" borderId="3" xfId="0" applyBorder="1"/>
    <xf numFmtId="8" fontId="0" fillId="0" borderId="3" xfId="0" applyNumberFormat="1" applyBorder="1" applyAlignment="1">
      <alignment vertical="center"/>
    </xf>
    <xf numFmtId="8" fontId="0" fillId="0" borderId="3" xfId="0" applyNumberFormat="1" applyBorder="1" applyAlignment="1">
      <alignment horizontal="center" vertical="center"/>
    </xf>
    <xf numFmtId="8" fontId="0" fillId="0" borderId="3" xfId="0" applyNumberFormat="1" applyBorder="1"/>
    <xf numFmtId="8" fontId="0" fillId="0" borderId="0" xfId="0" applyNumberFormat="1"/>
    <xf numFmtId="0" fontId="0" fillId="0" borderId="0" xfId="0" applyAlignment="1">
      <alignment horizontal="center" vertical="center"/>
    </xf>
    <xf numFmtId="8" fontId="43" fillId="0" borderId="3" xfId="0" applyNumberFormat="1" applyFont="1" applyBorder="1"/>
    <xf numFmtId="0" fontId="5" fillId="0" borderId="3" xfId="0" applyFont="1" applyBorder="1" applyAlignment="1">
      <alignment horizontal="center"/>
    </xf>
    <xf numFmtId="167" fontId="0" fillId="0" borderId="3" xfId="0" applyNumberFormat="1" applyBorder="1" applyAlignment="1">
      <alignment horizontal="center" vertical="center"/>
    </xf>
    <xf numFmtId="0" fontId="44" fillId="0" borderId="0" xfId="0" applyFont="1"/>
    <xf numFmtId="0" fontId="45" fillId="9" borderId="0" xfId="0" applyFont="1" applyFill="1"/>
    <xf numFmtId="4" fontId="6" fillId="0" borderId="3" xfId="0" applyNumberFormat="1" applyFont="1" applyBorder="1" applyAlignment="1">
      <alignment horizontal="center" vertical="center"/>
    </xf>
    <xf numFmtId="0" fontId="8" fillId="3" borderId="0" xfId="0" applyFont="1" applyFill="1" applyAlignment="1">
      <alignment horizontal="center" vertical="center"/>
    </xf>
    <xf numFmtId="0" fontId="9" fillId="0" borderId="0" xfId="0" applyFont="1" applyAlignment="1">
      <alignment horizontal="center" vertical="center"/>
    </xf>
    <xf numFmtId="0" fontId="44" fillId="0" borderId="0" xfId="0" applyFont="1" applyAlignment="1">
      <alignment horizontal="center" vertical="center"/>
    </xf>
    <xf numFmtId="0" fontId="45" fillId="9" borderId="0" xfId="0" applyFont="1" applyFill="1" applyAlignment="1">
      <alignment horizontal="center" vertical="center"/>
    </xf>
    <xf numFmtId="0" fontId="0" fillId="0" borderId="3" xfId="0" applyBorder="1" applyAlignment="1">
      <alignment horizontal="center" vertical="center"/>
    </xf>
    <xf numFmtId="0" fontId="0" fillId="3" borderId="0" xfId="0" applyFill="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45" fillId="9" borderId="0" xfId="0" applyFont="1" applyFill="1" applyAlignment="1">
      <alignment horizontal="center"/>
    </xf>
    <xf numFmtId="0" fontId="0" fillId="3" borderId="0" xfId="0" applyFill="1" applyAlignment="1">
      <alignment horizontal="center"/>
    </xf>
    <xf numFmtId="0" fontId="44" fillId="0" borderId="0" xfId="0" applyFont="1" applyAlignment="1">
      <alignment horizontal="center"/>
    </xf>
    <xf numFmtId="0" fontId="43" fillId="3" borderId="0" xfId="0" applyFont="1" applyFill="1"/>
    <xf numFmtId="2" fontId="43" fillId="3" borderId="0" xfId="0" applyNumberFormat="1" applyFont="1" applyFill="1"/>
    <xf numFmtId="0" fontId="43" fillId="0" borderId="0" xfId="0" applyFont="1"/>
    <xf numFmtId="0" fontId="43" fillId="0" borderId="0" xfId="0" applyFont="1" applyAlignment="1">
      <alignment horizontal="center"/>
    </xf>
    <xf numFmtId="168" fontId="46" fillId="0" borderId="0" xfId="1" applyNumberFormat="1" applyFont="1"/>
    <xf numFmtId="4" fontId="47" fillId="0" borderId="0" xfId="1" applyNumberFormat="1" applyFont="1"/>
    <xf numFmtId="168" fontId="47" fillId="0" borderId="0" xfId="1" applyNumberFormat="1" applyFont="1"/>
    <xf numFmtId="2" fontId="47" fillId="0" borderId="0" xfId="1" applyNumberFormat="1" applyFont="1"/>
    <xf numFmtId="168" fontId="46" fillId="0" borderId="0" xfId="1" applyNumberFormat="1" applyFont="1" applyAlignment="1">
      <alignment horizontal="center"/>
    </xf>
    <xf numFmtId="168" fontId="48" fillId="0" borderId="0" xfId="1" applyNumberFormat="1" applyFont="1"/>
    <xf numFmtId="4" fontId="49" fillId="0" borderId="0" xfId="1" applyNumberFormat="1" applyFont="1"/>
    <xf numFmtId="169" fontId="50" fillId="10" borderId="0" xfId="2" applyNumberFormat="1" applyFont="1" applyFill="1"/>
    <xf numFmtId="170" fontId="49" fillId="0" borderId="0" xfId="1" applyNumberFormat="1" applyFont="1"/>
    <xf numFmtId="171" fontId="49" fillId="0" borderId="0" xfId="1" applyNumberFormat="1" applyFont="1"/>
    <xf numFmtId="10" fontId="51" fillId="0" borderId="0" xfId="2" applyNumberFormat="1" applyFont="1" applyAlignment="1">
      <alignment horizontal="center"/>
    </xf>
    <xf numFmtId="10" fontId="49" fillId="0" borderId="0" xfId="1" applyNumberFormat="1" applyFont="1"/>
    <xf numFmtId="168" fontId="49" fillId="0" borderId="0" xfId="1" applyNumberFormat="1" applyFont="1"/>
    <xf numFmtId="168" fontId="50" fillId="0" borderId="0" xfId="1" applyNumberFormat="1" applyFont="1"/>
    <xf numFmtId="4" fontId="52" fillId="0" borderId="0" xfId="1" applyNumberFormat="1" applyFont="1"/>
    <xf numFmtId="168" fontId="52" fillId="0" borderId="0" xfId="1" applyNumberFormat="1" applyFont="1"/>
    <xf numFmtId="171" fontId="52" fillId="0" borderId="0" xfId="1" applyNumberFormat="1" applyFont="1"/>
    <xf numFmtId="171" fontId="50" fillId="0" borderId="0" xfId="1" applyNumberFormat="1" applyFont="1"/>
    <xf numFmtId="2" fontId="53" fillId="0" borderId="0" xfId="1" applyNumberFormat="1" applyFont="1"/>
    <xf numFmtId="10" fontId="50" fillId="0" borderId="0" xfId="1" applyNumberFormat="1" applyFont="1" applyAlignment="1">
      <alignment horizontal="center"/>
    </xf>
    <xf numFmtId="2" fontId="49" fillId="0" borderId="0" xfId="1" applyNumberFormat="1" applyFont="1"/>
    <xf numFmtId="168" fontId="48" fillId="0" borderId="0" xfId="1" applyNumberFormat="1" applyFont="1" applyAlignment="1">
      <alignment horizontal="center"/>
    </xf>
    <xf numFmtId="0" fontId="55" fillId="0" borderId="0" xfId="0" applyFont="1"/>
    <xf numFmtId="164" fontId="56" fillId="0" borderId="0" xfId="0" applyNumberFormat="1" applyFont="1"/>
    <xf numFmtId="0" fontId="41" fillId="0" borderId="0" xfId="0" applyFont="1" applyAlignment="1">
      <alignment horizontal="right"/>
    </xf>
    <xf numFmtId="0" fontId="57" fillId="11" borderId="5"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58" fillId="11" borderId="6" xfId="0" applyFont="1" applyFill="1" applyBorder="1" applyAlignment="1">
      <alignment horizontal="center" vertical="center" wrapText="1"/>
    </xf>
    <xf numFmtId="0" fontId="59" fillId="12" borderId="0" xfId="0" applyFont="1" applyFill="1" applyAlignment="1">
      <alignment vertical="center" wrapText="1"/>
    </xf>
    <xf numFmtId="0" fontId="58" fillId="12" borderId="0" xfId="0" applyFont="1" applyFill="1" applyAlignment="1">
      <alignment vertical="center" wrapText="1"/>
    </xf>
    <xf numFmtId="0" fontId="58" fillId="12" borderId="0" xfId="0" applyFont="1" applyFill="1" applyAlignment="1">
      <alignment horizontal="center" vertical="center" wrapText="1"/>
    </xf>
    <xf numFmtId="164" fontId="56" fillId="0" borderId="0" xfId="0" applyNumberFormat="1" applyFont="1" applyAlignment="1">
      <alignment vertical="center"/>
    </xf>
    <xf numFmtId="0" fontId="60" fillId="0" borderId="30" xfId="0" applyFont="1" applyBorder="1" applyAlignment="1">
      <alignment vertical="center" wrapText="1"/>
    </xf>
    <xf numFmtId="164" fontId="44" fillId="0" borderId="6" xfId="0" applyNumberFormat="1" applyFont="1" applyBorder="1" applyAlignment="1">
      <alignment vertical="center"/>
    </xf>
    <xf numFmtId="164" fontId="61" fillId="0" borderId="26" xfId="0" applyNumberFormat="1" applyFont="1" applyBorder="1" applyAlignment="1">
      <alignment vertical="center"/>
    </xf>
    <xf numFmtId="0" fontId="41" fillId="0" borderId="0" xfId="0" applyFont="1"/>
    <xf numFmtId="0" fontId="57" fillId="0" borderId="0" xfId="0" applyFont="1" applyAlignment="1">
      <alignment horizontal="right" vertical="center"/>
    </xf>
    <xf numFmtId="0" fontId="62" fillId="0" borderId="0" xfId="0" applyFont="1"/>
    <xf numFmtId="164" fontId="44" fillId="0" borderId="27" xfId="0" applyNumberFormat="1" applyFont="1" applyBorder="1"/>
    <xf numFmtId="164" fontId="61" fillId="0" borderId="22" xfId="0" applyNumberFormat="1" applyFont="1" applyBorder="1"/>
    <xf numFmtId="164" fontId="61" fillId="0" borderId="22" xfId="0" applyNumberFormat="1" applyFont="1" applyBorder="1" applyAlignment="1">
      <alignment vertical="center"/>
    </xf>
    <xf numFmtId="172" fontId="41" fillId="0" borderId="0" xfId="0" applyNumberFormat="1" applyFont="1"/>
    <xf numFmtId="172" fontId="36" fillId="0" borderId="0" xfId="0" applyNumberFormat="1" applyFont="1"/>
    <xf numFmtId="0" fontId="63" fillId="0" borderId="0" xfId="0" applyFont="1"/>
    <xf numFmtId="0" fontId="63" fillId="0" borderId="0" xfId="0" applyFont="1" applyAlignment="1">
      <alignment vertical="center"/>
    </xf>
    <xf numFmtId="0" fontId="59" fillId="12" borderId="0" xfId="0" applyFont="1" applyFill="1" applyAlignment="1">
      <alignment horizontal="right" vertical="center"/>
    </xf>
    <xf numFmtId="0" fontId="58" fillId="12" borderId="0" xfId="0" applyFont="1" applyFill="1" applyAlignment="1">
      <alignment horizontal="right" vertical="center"/>
    </xf>
    <xf numFmtId="0" fontId="58" fillId="12" borderId="0" xfId="0" applyFont="1" applyFill="1" applyAlignment="1">
      <alignment vertical="center"/>
    </xf>
    <xf numFmtId="164" fontId="61" fillId="0" borderId="6" xfId="0" applyNumberFormat="1" applyFont="1" applyBorder="1" applyAlignment="1">
      <alignment vertical="center" wrapText="1"/>
    </xf>
    <xf numFmtId="0" fontId="60" fillId="0" borderId="6" xfId="0" applyFont="1" applyBorder="1" applyAlignment="1">
      <alignment vertical="center" wrapText="1"/>
    </xf>
    <xf numFmtId="164" fontId="61" fillId="0" borderId="30" xfId="0" applyNumberFormat="1" applyFont="1" applyBorder="1" applyAlignment="1">
      <alignment vertical="center" wrapText="1"/>
    </xf>
    <xf numFmtId="0" fontId="62" fillId="0" borderId="0" xfId="0" applyFont="1" applyAlignment="1">
      <alignment vertical="center" wrapText="1"/>
    </xf>
    <xf numFmtId="164" fontId="44" fillId="0" borderId="27" xfId="0" applyNumberFormat="1" applyFont="1" applyBorder="1" applyAlignment="1">
      <alignment vertical="center" wrapText="1"/>
    </xf>
    <xf numFmtId="164" fontId="61" fillId="0" borderId="27" xfId="0" applyNumberFormat="1" applyFont="1" applyBorder="1" applyAlignment="1">
      <alignment vertical="center" wrapText="1"/>
    </xf>
    <xf numFmtId="0" fontId="63" fillId="0" borderId="0" xfId="0" applyFont="1" applyAlignment="1">
      <alignment vertical="center" wrapText="1"/>
    </xf>
    <xf numFmtId="2" fontId="41" fillId="0" borderId="0" xfId="0" applyNumberFormat="1" applyFont="1"/>
    <xf numFmtId="0" fontId="57" fillId="12" borderId="5" xfId="0" applyFont="1" applyFill="1" applyBorder="1" applyAlignment="1">
      <alignment horizontal="right" vertical="center" wrapText="1"/>
    </xf>
    <xf numFmtId="164" fontId="44" fillId="12" borderId="5" xfId="0" applyNumberFormat="1" applyFont="1" applyFill="1" applyBorder="1" applyAlignment="1">
      <alignment vertical="center" wrapText="1"/>
    </xf>
    <xf numFmtId="164" fontId="61" fillId="12" borderId="5" xfId="0" applyNumberFormat="1" applyFont="1" applyFill="1" applyBorder="1" applyAlignment="1">
      <alignment vertical="center" wrapText="1"/>
    </xf>
    <xf numFmtId="0" fontId="59" fillId="0" borderId="0" xfId="0" applyFont="1" applyAlignment="1">
      <alignment horizontal="right" vertical="center" wrapText="1"/>
    </xf>
    <xf numFmtId="9" fontId="59" fillId="0" borderId="0" xfId="0" applyNumberFormat="1" applyFont="1" applyAlignment="1">
      <alignment horizontal="right" vertical="center" wrapText="1"/>
    </xf>
    <xf numFmtId="164" fontId="44" fillId="0" borderId="0" xfId="0" applyNumberFormat="1" applyFont="1" applyAlignment="1">
      <alignment vertical="center" wrapText="1"/>
    </xf>
    <xf numFmtId="164" fontId="61" fillId="0" borderId="0" xfId="0" applyNumberFormat="1" applyFont="1" applyAlignment="1">
      <alignment vertical="center" wrapText="1"/>
    </xf>
    <xf numFmtId="0" fontId="57" fillId="13" borderId="5" xfId="0" applyFont="1" applyFill="1" applyBorder="1" applyAlignment="1">
      <alignment horizontal="right" vertical="center" wrapText="1"/>
    </xf>
    <xf numFmtId="164" fontId="66" fillId="13" borderId="5" xfId="0" applyNumberFormat="1" applyFont="1" applyFill="1" applyBorder="1" applyAlignment="1">
      <alignment wrapText="1"/>
    </xf>
    <xf numFmtId="164" fontId="61" fillId="13" borderId="5" xfId="0" applyNumberFormat="1" applyFont="1" applyFill="1" applyBorder="1" applyAlignment="1">
      <alignment wrapText="1"/>
    </xf>
    <xf numFmtId="164" fontId="61" fillId="13" borderId="5" xfId="0" applyNumberFormat="1" applyFont="1" applyFill="1" applyBorder="1" applyAlignment="1">
      <alignment vertical="center" wrapText="1"/>
    </xf>
    <xf numFmtId="0" fontId="6" fillId="0" borderId="0" xfId="0" applyFont="1" applyAlignment="1">
      <alignment horizontal="center" vertical="center"/>
    </xf>
    <xf numFmtId="172" fontId="41" fillId="0" borderId="0" xfId="0" applyNumberFormat="1" applyFont="1" applyAlignment="1">
      <alignment vertical="center"/>
    </xf>
    <xf numFmtId="172" fontId="36" fillId="0" borderId="0" xfId="0" applyNumberFormat="1" applyFont="1" applyAlignment="1">
      <alignment vertical="center"/>
    </xf>
    <xf numFmtId="0" fontId="56" fillId="0" borderId="0" xfId="0" applyFont="1" applyAlignment="1">
      <alignment horizontal="center" vertical="center"/>
    </xf>
    <xf numFmtId="0" fontId="67" fillId="0" borderId="0" xfId="0" applyFont="1" applyAlignment="1">
      <alignment horizontal="right" vertical="center" wrapText="1"/>
    </xf>
    <xf numFmtId="0" fontId="67" fillId="0" borderId="0" xfId="0" applyFont="1" applyAlignment="1">
      <alignment vertical="center"/>
    </xf>
    <xf numFmtId="0" fontId="68" fillId="0" borderId="0" xfId="0" applyFont="1" applyAlignment="1">
      <alignment vertical="center"/>
    </xf>
    <xf numFmtId="0" fontId="63" fillId="0" borderId="0" xfId="0" applyFont="1" applyAlignment="1">
      <alignment horizontal="center" vertical="center"/>
    </xf>
    <xf numFmtId="0" fontId="58" fillId="12" borderId="0" xfId="0" applyFont="1" applyFill="1" applyAlignment="1">
      <alignment horizontal="center" vertical="center"/>
    </xf>
    <xf numFmtId="0" fontId="6" fillId="0" borderId="0" xfId="0" applyFont="1" applyAlignment="1">
      <alignment horizontal="right" vertical="center"/>
    </xf>
    <xf numFmtId="169" fontId="5" fillId="0" borderId="0" xfId="0" applyNumberFormat="1" applyFont="1" applyAlignment="1">
      <alignment horizontal="right" vertical="center"/>
    </xf>
    <xf numFmtId="164" fontId="61" fillId="0" borderId="27" xfId="0" applyNumberFormat="1" applyFont="1" applyBorder="1" applyAlignment="1">
      <alignment horizontal="right" vertical="center" wrapText="1"/>
    </xf>
    <xf numFmtId="165" fontId="7" fillId="4" borderId="0" xfId="0" applyNumberFormat="1" applyFont="1" applyFill="1"/>
    <xf numFmtId="10" fontId="29" fillId="4" borderId="0" xfId="0" applyNumberFormat="1" applyFont="1" applyFill="1"/>
    <xf numFmtId="164" fontId="64" fillId="0" borderId="0" xfId="0" applyNumberFormat="1" applyFont="1"/>
    <xf numFmtId="3" fontId="69" fillId="0" borderId="0" xfId="0" applyNumberFormat="1" applyFont="1" applyAlignment="1">
      <alignment horizontal="center"/>
    </xf>
    <xf numFmtId="166" fontId="69" fillId="0" borderId="0" xfId="0" applyNumberFormat="1" applyFont="1" applyAlignment="1">
      <alignment vertical="center"/>
    </xf>
    <xf numFmtId="0" fontId="29" fillId="4" borderId="0" xfId="0" applyFont="1" applyFill="1" applyAlignment="1">
      <alignment horizontal="right"/>
    </xf>
    <xf numFmtId="0" fontId="29" fillId="4" borderId="0" xfId="0" applyFont="1" applyFill="1" applyAlignment="1">
      <alignment vertical="center"/>
    </xf>
    <xf numFmtId="164" fontId="64" fillId="0" borderId="0" xfId="0" applyNumberFormat="1" applyFont="1" applyAlignment="1">
      <alignment vertical="center"/>
    </xf>
    <xf numFmtId="3" fontId="69" fillId="0" borderId="0" xfId="0" applyNumberFormat="1" applyFont="1" applyAlignment="1">
      <alignment horizontal="center" vertical="center"/>
    </xf>
    <xf numFmtId="0" fontId="70" fillId="15" borderId="45" xfId="0" applyFont="1" applyFill="1" applyBorder="1" applyAlignment="1">
      <alignment horizontal="center" vertical="center" wrapText="1"/>
    </xf>
    <xf numFmtId="0" fontId="70" fillId="15" borderId="46" xfId="0" applyFont="1" applyFill="1" applyBorder="1" applyAlignment="1">
      <alignment horizontal="center" vertical="center" wrapText="1"/>
    </xf>
    <xf numFmtId="0" fontId="71" fillId="15" borderId="22" xfId="0" applyFont="1" applyFill="1" applyBorder="1" applyAlignment="1">
      <alignment horizontal="center" vertical="center" wrapText="1"/>
    </xf>
    <xf numFmtId="0" fontId="71" fillId="15" borderId="7" xfId="0" applyFont="1" applyFill="1" applyBorder="1" applyAlignment="1">
      <alignment horizontal="center" vertical="center" wrapText="1"/>
    </xf>
    <xf numFmtId="0" fontId="72" fillId="2" borderId="47" xfId="0" applyFont="1" applyFill="1" applyBorder="1" applyAlignment="1">
      <alignment horizontal="center" vertical="center" wrapText="1"/>
    </xf>
    <xf numFmtId="0" fontId="72" fillId="2" borderId="48" xfId="0" applyFont="1" applyFill="1" applyBorder="1" applyAlignment="1">
      <alignment horizontal="center" vertical="center" wrapText="1"/>
    </xf>
    <xf numFmtId="164" fontId="72" fillId="2" borderId="48" xfId="0" applyNumberFormat="1" applyFont="1" applyFill="1" applyBorder="1" applyAlignment="1">
      <alignment horizontal="right" vertical="center" wrapText="1"/>
    </xf>
    <xf numFmtId="164" fontId="72" fillId="2" borderId="47" xfId="0" applyNumberFormat="1" applyFont="1" applyFill="1" applyBorder="1" applyAlignment="1">
      <alignment horizontal="right" vertical="center" wrapText="1"/>
    </xf>
    <xf numFmtId="0" fontId="73" fillId="2" borderId="28" xfId="0" applyFont="1" applyFill="1" applyBorder="1" applyAlignment="1">
      <alignment horizontal="justify" vertical="center" wrapText="1"/>
    </xf>
    <xf numFmtId="8" fontId="72" fillId="2" borderId="29" xfId="0" applyNumberFormat="1" applyFont="1" applyFill="1" applyBorder="1" applyAlignment="1">
      <alignment horizontal="right" vertical="center" wrapText="1"/>
    </xf>
    <xf numFmtId="8" fontId="73" fillId="2" borderId="29" xfId="0" applyNumberFormat="1" applyFont="1" applyFill="1" applyBorder="1" applyAlignment="1">
      <alignment horizontal="right" vertical="center" wrapText="1"/>
    </xf>
    <xf numFmtId="164" fontId="72" fillId="2" borderId="27" xfId="0" applyNumberFormat="1" applyFont="1" applyFill="1" applyBorder="1" applyAlignment="1">
      <alignment vertical="center" wrapText="1"/>
    </xf>
    <xf numFmtId="0" fontId="72" fillId="2" borderId="42" xfId="0" applyFont="1" applyFill="1" applyBorder="1" applyAlignment="1">
      <alignment horizontal="center" vertical="center" wrapText="1"/>
    </xf>
    <xf numFmtId="0" fontId="72" fillId="2" borderId="49" xfId="0" applyFont="1" applyFill="1" applyBorder="1" applyAlignment="1">
      <alignment horizontal="center" vertical="center" wrapText="1"/>
    </xf>
    <xf numFmtId="164" fontId="72" fillId="2" borderId="49" xfId="0" applyNumberFormat="1" applyFont="1" applyFill="1" applyBorder="1" applyAlignment="1">
      <alignment horizontal="right" vertical="center" wrapText="1"/>
    </xf>
    <xf numFmtId="0" fontId="73" fillId="2" borderId="27" xfId="0" applyFont="1" applyFill="1" applyBorder="1" applyAlignment="1">
      <alignment horizontal="justify" vertical="center" wrapText="1"/>
    </xf>
    <xf numFmtId="0" fontId="70" fillId="2" borderId="42" xfId="0" applyFont="1" applyFill="1" applyBorder="1" applyAlignment="1">
      <alignment horizontal="center" vertical="center" wrapText="1"/>
    </xf>
    <xf numFmtId="0" fontId="70" fillId="2" borderId="0" xfId="0" applyFont="1" applyFill="1" applyAlignment="1">
      <alignment horizontal="center" vertical="center" wrapText="1"/>
    </xf>
    <xf numFmtId="0" fontId="72" fillId="2" borderId="0" xfId="0" applyFont="1" applyFill="1" applyAlignment="1">
      <alignment horizontal="right" vertical="center" wrapText="1"/>
    </xf>
    <xf numFmtId="0" fontId="72" fillId="2" borderId="50" xfId="0" applyFont="1" applyFill="1" applyBorder="1" applyAlignment="1">
      <alignment horizontal="right" vertical="center" wrapText="1"/>
    </xf>
    <xf numFmtId="164" fontId="70" fillId="2" borderId="49" xfId="0" applyNumberFormat="1" applyFont="1" applyFill="1" applyBorder="1" applyAlignment="1">
      <alignment horizontal="right" vertical="center" wrapText="1"/>
    </xf>
    <xf numFmtId="0" fontId="70" fillId="2" borderId="50" xfId="0" applyFont="1" applyFill="1" applyBorder="1" applyAlignment="1">
      <alignment horizontal="right" vertical="center" wrapText="1"/>
    </xf>
    <xf numFmtId="0" fontId="70" fillId="2" borderId="27" xfId="0" applyFont="1" applyFill="1" applyBorder="1" applyAlignment="1">
      <alignment horizontal="justify" vertical="center" wrapText="1"/>
    </xf>
    <xf numFmtId="8" fontId="70" fillId="2" borderId="29" xfId="0" applyNumberFormat="1" applyFont="1" applyFill="1" applyBorder="1" applyAlignment="1">
      <alignment horizontal="right" vertical="center" wrapText="1"/>
    </xf>
    <xf numFmtId="10" fontId="0" fillId="0" borderId="0" xfId="0" applyNumberFormat="1"/>
    <xf numFmtId="9" fontId="72" fillId="2" borderId="48" xfId="0" applyNumberFormat="1" applyFont="1" applyFill="1" applyBorder="1" applyAlignment="1">
      <alignment horizontal="center" vertical="center" wrapText="1"/>
    </xf>
    <xf numFmtId="164" fontId="44" fillId="0" borderId="44" xfId="0" applyNumberFormat="1" applyFont="1" applyBorder="1" applyAlignment="1">
      <alignment vertical="center" wrapText="1"/>
    </xf>
    <xf numFmtId="164" fontId="65" fillId="0" borderId="44" xfId="0" applyNumberFormat="1" applyFont="1" applyBorder="1" applyAlignment="1">
      <alignment vertical="center" wrapText="1"/>
    </xf>
    <xf numFmtId="4" fontId="0" fillId="0" borderId="0" xfId="0" applyNumberFormat="1"/>
    <xf numFmtId="165" fontId="0" fillId="0" borderId="0" xfId="0" applyNumberFormat="1"/>
    <xf numFmtId="4" fontId="6" fillId="3" borderId="3" xfId="0" applyNumberFormat="1" applyFont="1" applyFill="1" applyBorder="1" applyAlignment="1">
      <alignment horizontal="center" vertical="center"/>
    </xf>
    <xf numFmtId="9"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59" fillId="12" borderId="0" xfId="0" applyFont="1" applyFill="1" applyAlignment="1">
      <alignment horizontal="center" vertical="center"/>
    </xf>
    <xf numFmtId="0" fontId="11" fillId="0" borderId="0" xfId="0" applyFont="1" applyAlignment="1">
      <alignment horizontal="center"/>
    </xf>
    <xf numFmtId="8" fontId="11" fillId="0" borderId="0" xfId="0" applyNumberFormat="1" applyFont="1"/>
    <xf numFmtId="8" fontId="11" fillId="0" borderId="3" xfId="0" applyNumberFormat="1" applyFont="1" applyBorder="1"/>
    <xf numFmtId="0" fontId="10" fillId="0" borderId="0" xfId="0" applyFont="1" applyAlignment="1">
      <alignment horizontal="center" vertical="center"/>
    </xf>
    <xf numFmtId="0" fontId="11" fillId="0" borderId="3" xfId="0" applyFont="1" applyBorder="1" applyAlignment="1">
      <alignment horizontal="center" vertical="center" wrapText="1"/>
    </xf>
    <xf numFmtId="8" fontId="10" fillId="0" borderId="3" xfId="0" applyNumberFormat="1" applyFont="1" applyBorder="1" applyAlignment="1">
      <alignment horizontal="center" vertical="center"/>
    </xf>
    <xf numFmtId="0" fontId="6" fillId="0" borderId="0" xfId="0" applyFont="1" applyAlignment="1">
      <alignment horizontal="center"/>
    </xf>
    <xf numFmtId="0" fontId="9" fillId="0" borderId="0" xfId="0" applyFont="1" applyAlignment="1">
      <alignment horizontal="center"/>
    </xf>
    <xf numFmtId="0" fontId="41" fillId="0" borderId="0" xfId="0" applyFont="1" applyAlignment="1">
      <alignment horizontal="center"/>
    </xf>
    <xf numFmtId="164" fontId="5" fillId="0" borderId="0" xfId="0" applyNumberFormat="1" applyFont="1"/>
    <xf numFmtId="164" fontId="6" fillId="0" borderId="0" xfId="0" applyNumberFormat="1" applyFont="1"/>
    <xf numFmtId="164" fontId="54" fillId="0" borderId="0" xfId="0" applyNumberFormat="1" applyFont="1" applyAlignment="1">
      <alignment vertical="center"/>
    </xf>
    <xf numFmtId="164" fontId="54" fillId="0" borderId="0" xfId="0" applyNumberFormat="1" applyFont="1" applyAlignment="1">
      <alignment vertical="center" wrapText="1"/>
    </xf>
    <xf numFmtId="0" fontId="6" fillId="0" borderId="3" xfId="0" applyFont="1" applyBorder="1" applyAlignment="1">
      <alignment vertical="center" wrapText="1"/>
    </xf>
    <xf numFmtId="4" fontId="6" fillId="0" borderId="3" xfId="0" applyNumberFormat="1" applyFont="1" applyBorder="1" applyAlignment="1">
      <alignment vertical="center"/>
    </xf>
    <xf numFmtId="165" fontId="5" fillId="0" borderId="3" xfId="0" applyNumberFormat="1" applyFont="1" applyBorder="1" applyAlignment="1">
      <alignment horizontal="center" vertical="center"/>
    </xf>
    <xf numFmtId="0" fontId="65" fillId="0" borderId="6" xfId="0" applyFont="1" applyBorder="1" applyAlignment="1">
      <alignment vertical="center" wrapText="1"/>
    </xf>
    <xf numFmtId="0" fontId="65" fillId="0" borderId="21" xfId="0" applyFont="1" applyBorder="1" applyAlignment="1">
      <alignment vertical="center" wrapText="1"/>
    </xf>
    <xf numFmtId="0" fontId="41" fillId="0" borderId="6" xfId="0" applyFont="1" applyBorder="1" applyAlignment="1">
      <alignment horizontal="justify" vertical="center"/>
    </xf>
    <xf numFmtId="164" fontId="44" fillId="0" borderId="10" xfId="0" applyNumberFormat="1" applyFont="1" applyBorder="1" applyAlignment="1">
      <alignment vertical="center" wrapText="1"/>
    </xf>
    <xf numFmtId="164" fontId="65" fillId="0" borderId="10" xfId="0" applyNumberFormat="1" applyFont="1" applyBorder="1" applyAlignment="1">
      <alignment vertical="center" wrapText="1"/>
    </xf>
    <xf numFmtId="0" fontId="36" fillId="0" borderId="52" xfId="0" applyFont="1" applyBorder="1" applyAlignment="1">
      <alignment horizontal="center" vertical="center" wrapText="1"/>
    </xf>
    <xf numFmtId="0" fontId="36" fillId="0" borderId="52" xfId="0" applyFont="1" applyBorder="1" applyAlignment="1">
      <alignment horizontal="left" vertical="center" wrapText="1"/>
    </xf>
    <xf numFmtId="0" fontId="36" fillId="0" borderId="41"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xf>
    <xf numFmtId="0" fontId="75" fillId="0" borderId="55" xfId="0" applyFont="1" applyBorder="1" applyAlignment="1">
      <alignment horizontal="right" vertical="center"/>
    </xf>
    <xf numFmtId="0" fontId="55" fillId="0" borderId="54" xfId="0" applyFont="1" applyBorder="1" applyAlignment="1">
      <alignment horizontal="center" vertical="center"/>
    </xf>
    <xf numFmtId="0" fontId="55" fillId="0" borderId="56" xfId="0" applyFont="1" applyBorder="1" applyAlignment="1">
      <alignment horizontal="right" vertical="center"/>
    </xf>
    <xf numFmtId="0" fontId="55" fillId="0" borderId="57" xfId="0" applyFont="1" applyBorder="1" applyAlignment="1">
      <alignment horizontal="left" vertical="center" wrapText="1"/>
    </xf>
    <xf numFmtId="0" fontId="55" fillId="0" borderId="58" xfId="0" applyFont="1" applyBorder="1" applyAlignment="1">
      <alignment horizontal="center" vertical="center"/>
    </xf>
    <xf numFmtId="8" fontId="55" fillId="0" borderId="60" xfId="0" applyNumberFormat="1" applyFont="1" applyBorder="1" applyAlignment="1">
      <alignment horizontal="right" vertical="center"/>
    </xf>
    <xf numFmtId="0" fontId="55" fillId="0" borderId="61" xfId="0" applyFont="1" applyBorder="1" applyAlignment="1">
      <alignment horizontal="left" vertical="center" wrapText="1"/>
    </xf>
    <xf numFmtId="0" fontId="6" fillId="0" borderId="23" xfId="0" applyFont="1" applyBorder="1" applyAlignment="1">
      <alignment horizontal="center" vertical="center"/>
    </xf>
    <xf numFmtId="0" fontId="55" fillId="0" borderId="23" xfId="0" applyFont="1" applyBorder="1" applyAlignment="1">
      <alignment horizontal="center" vertical="center"/>
    </xf>
    <xf numFmtId="0" fontId="55" fillId="0" borderId="62" xfId="0" applyFont="1" applyBorder="1" applyAlignment="1">
      <alignment horizontal="right" vertical="center"/>
    </xf>
    <xf numFmtId="4" fontId="75" fillId="0" borderId="54" xfId="0" applyNumberFormat="1" applyFont="1" applyBorder="1" applyAlignment="1">
      <alignment horizontal="right" vertical="center"/>
    </xf>
    <xf numFmtId="8" fontId="55" fillId="0" borderId="63" xfId="0" applyNumberFormat="1" applyFont="1" applyBorder="1" applyAlignment="1">
      <alignment horizontal="right" vertical="center"/>
    </xf>
    <xf numFmtId="4" fontId="75" fillId="0" borderId="59" xfId="0" applyNumberFormat="1" applyFont="1" applyBorder="1" applyAlignment="1">
      <alignment horizontal="right" vertical="center"/>
    </xf>
    <xf numFmtId="0" fontId="55" fillId="0" borderId="23" xfId="0" applyFont="1" applyBorder="1" applyAlignment="1">
      <alignment horizontal="left" vertical="center"/>
    </xf>
    <xf numFmtId="4" fontId="75" fillId="0" borderId="40" xfId="0" applyNumberFormat="1" applyFont="1" applyBorder="1" applyAlignment="1">
      <alignment horizontal="right" vertical="center"/>
    </xf>
    <xf numFmtId="0" fontId="55" fillId="0" borderId="40" xfId="0" applyFont="1" applyBorder="1" applyAlignment="1">
      <alignment horizontal="center" vertical="center"/>
    </xf>
    <xf numFmtId="8" fontId="55" fillId="0" borderId="62" xfId="0" applyNumberFormat="1" applyFont="1" applyBorder="1" applyAlignment="1">
      <alignment horizontal="right" vertical="center"/>
    </xf>
    <xf numFmtId="0" fontId="55" fillId="0" borderId="55" xfId="0" applyFont="1" applyBorder="1" applyAlignment="1">
      <alignment horizontal="center" vertical="center"/>
    </xf>
    <xf numFmtId="8" fontId="55" fillId="0" borderId="56" xfId="0" applyNumberFormat="1" applyFont="1" applyBorder="1" applyAlignment="1">
      <alignment horizontal="right" vertical="center"/>
    </xf>
    <xf numFmtId="4" fontId="75" fillId="0" borderId="64" xfId="0" applyNumberFormat="1" applyFont="1" applyBorder="1" applyAlignment="1">
      <alignment horizontal="right" vertical="center"/>
    </xf>
    <xf numFmtId="0" fontId="55" fillId="0" borderId="64" xfId="0" applyFont="1" applyBorder="1" applyAlignment="1">
      <alignment horizontal="center" vertical="center"/>
    </xf>
    <xf numFmtId="164" fontId="55" fillId="0" borderId="65" xfId="0" applyNumberFormat="1" applyFont="1" applyBorder="1" applyAlignment="1">
      <alignment horizontal="right" vertical="center"/>
    </xf>
    <xf numFmtId="4" fontId="75" fillId="0" borderId="55" xfId="0" applyNumberFormat="1" applyFont="1" applyBorder="1" applyAlignment="1">
      <alignment horizontal="right" vertical="center"/>
    </xf>
    <xf numFmtId="0" fontId="0" fillId="0" borderId="66" xfId="0" applyBorder="1" applyAlignment="1">
      <alignment vertical="center" wrapText="1"/>
    </xf>
    <xf numFmtId="0" fontId="55" fillId="0" borderId="67" xfId="0" applyFont="1" applyBorder="1" applyAlignment="1">
      <alignment horizontal="left" vertical="center"/>
    </xf>
    <xf numFmtId="0" fontId="55" fillId="0" borderId="68" xfId="0" applyFont="1" applyBorder="1" applyAlignment="1">
      <alignment horizontal="right" vertical="center"/>
    </xf>
    <xf numFmtId="0" fontId="55" fillId="0" borderId="68" xfId="0" applyFont="1" applyBorder="1" applyAlignment="1">
      <alignment horizontal="center" vertical="center"/>
    </xf>
    <xf numFmtId="0" fontId="0" fillId="0" borderId="69" xfId="0" applyBorder="1" applyAlignment="1">
      <alignment vertical="center"/>
    </xf>
    <xf numFmtId="4" fontId="55" fillId="0" borderId="40" xfId="0" applyNumberFormat="1" applyFont="1" applyBorder="1" applyAlignment="1">
      <alignment horizontal="right" vertical="center"/>
    </xf>
    <xf numFmtId="0" fontId="55" fillId="0" borderId="70" xfId="0" applyFont="1" applyBorder="1" applyAlignment="1">
      <alignment vertical="center" wrapText="1"/>
    </xf>
    <xf numFmtId="0" fontId="55" fillId="0" borderId="71" xfId="0" applyFont="1" applyBorder="1" applyAlignment="1">
      <alignment vertical="center" wrapText="1"/>
    </xf>
    <xf numFmtId="0" fontId="55" fillId="0" borderId="72" xfId="0" applyFont="1" applyBorder="1" applyAlignment="1">
      <alignment horizontal="left" vertical="center" wrapText="1"/>
    </xf>
    <xf numFmtId="0" fontId="55" fillId="0" borderId="73" xfId="0" applyFont="1" applyBorder="1" applyAlignment="1">
      <alignment horizontal="center" vertical="center"/>
    </xf>
    <xf numFmtId="4" fontId="75" fillId="0" borderId="74" xfId="0" applyNumberFormat="1" applyFont="1" applyBorder="1" applyAlignment="1">
      <alignment horizontal="right" vertical="center"/>
    </xf>
    <xf numFmtId="0" fontId="55" fillId="0" borderId="74" xfId="0" applyFont="1" applyBorder="1" applyAlignment="1">
      <alignment horizontal="center" vertical="center"/>
    </xf>
    <xf numFmtId="8" fontId="55" fillId="0" borderId="75" xfId="0" applyNumberFormat="1" applyFont="1" applyBorder="1" applyAlignment="1">
      <alignment horizontal="right" vertical="center"/>
    </xf>
    <xf numFmtId="167" fontId="0" fillId="0" borderId="0" xfId="0" applyNumberFormat="1"/>
    <xf numFmtId="173" fontId="0" fillId="0" borderId="0" xfId="21" applyNumberFormat="1" applyFont="1"/>
    <xf numFmtId="8" fontId="71" fillId="2" borderId="29" xfId="0" applyNumberFormat="1" applyFont="1" applyFill="1" applyBorder="1" applyAlignment="1">
      <alignment horizontal="right" vertical="center" wrapText="1"/>
    </xf>
    <xf numFmtId="169" fontId="0" fillId="0" borderId="0" xfId="0" applyNumberFormat="1" applyAlignment="1">
      <alignment horizontal="center" vertical="center"/>
    </xf>
    <xf numFmtId="164" fontId="54" fillId="0" borderId="0" xfId="22" applyNumberFormat="1" applyFont="1" applyFill="1" applyAlignment="1">
      <alignment horizontal="center"/>
    </xf>
    <xf numFmtId="0" fontId="3" fillId="0" borderId="0" xfId="22" applyFill="1"/>
    <xf numFmtId="0" fontId="85" fillId="0" borderId="0" xfId="22" applyFont="1" applyFill="1" applyAlignment="1">
      <alignment horizontal="center"/>
    </xf>
    <xf numFmtId="0" fontId="3" fillId="0" borderId="0" xfId="22"/>
    <xf numFmtId="0" fontId="78" fillId="0" borderId="0" xfId="22" applyFont="1" applyFill="1" applyAlignment="1">
      <alignment wrapText="1"/>
    </xf>
    <xf numFmtId="0" fontId="85" fillId="0" borderId="0" xfId="22" applyFont="1" applyAlignment="1">
      <alignment horizontal="center"/>
    </xf>
    <xf numFmtId="0" fontId="3" fillId="0" borderId="0" xfId="22" applyAlignment="1">
      <alignment horizontal="center"/>
    </xf>
    <xf numFmtId="0" fontId="80" fillId="0" borderId="0" xfId="22" applyFont="1" applyBorder="1" applyProtection="1">
      <protection hidden="1"/>
    </xf>
    <xf numFmtId="2" fontId="80" fillId="0" borderId="0" xfId="22" applyNumberFormat="1" applyFont="1" applyBorder="1" applyProtection="1">
      <protection hidden="1"/>
    </xf>
    <xf numFmtId="0" fontId="3" fillId="0" borderId="40" xfId="22" applyBorder="1" applyProtection="1">
      <protection hidden="1"/>
    </xf>
    <xf numFmtId="0" fontId="80" fillId="0" borderId="31" xfId="22" applyFont="1" applyBorder="1" applyProtection="1">
      <protection hidden="1"/>
    </xf>
    <xf numFmtId="0" fontId="81" fillId="16" borderId="76" xfId="22" applyFont="1" applyFill="1" applyBorder="1" applyAlignment="1" applyProtection="1">
      <alignment horizontal="center" vertical="center" wrapText="1"/>
      <protection hidden="1"/>
    </xf>
    <xf numFmtId="0" fontId="81" fillId="16" borderId="3" xfId="22" applyFont="1" applyFill="1" applyBorder="1" applyAlignment="1" applyProtection="1">
      <alignment horizontal="center" vertical="center" wrapText="1"/>
      <protection hidden="1"/>
    </xf>
    <xf numFmtId="2" fontId="81" fillId="16" borderId="3" xfId="22" applyNumberFormat="1" applyFont="1" applyFill="1" applyBorder="1" applyAlignment="1" applyProtection="1">
      <alignment horizontal="center" vertical="center" wrapText="1"/>
      <protection hidden="1"/>
    </xf>
    <xf numFmtId="0" fontId="3" fillId="0" borderId="0" xfId="22" applyFill="1" applyBorder="1" applyAlignment="1">
      <alignment horizontal="center"/>
    </xf>
    <xf numFmtId="0" fontId="81" fillId="0" borderId="76" xfId="22" quotePrefix="1" applyFont="1" applyFill="1" applyBorder="1" applyAlignment="1" applyProtection="1">
      <alignment horizontal="center" wrapText="1"/>
      <protection hidden="1"/>
    </xf>
    <xf numFmtId="0" fontId="82" fillId="0" borderId="3" xfId="22" quotePrefix="1" applyFont="1" applyFill="1" applyBorder="1" applyAlignment="1" applyProtection="1">
      <alignment wrapText="1"/>
      <protection hidden="1"/>
    </xf>
    <xf numFmtId="0" fontId="82" fillId="0" borderId="3" xfId="22" quotePrefix="1" applyFont="1" applyFill="1" applyBorder="1" applyAlignment="1" applyProtection="1">
      <alignment horizontal="center" wrapText="1"/>
      <protection hidden="1"/>
    </xf>
    <xf numFmtId="174" fontId="82" fillId="0" borderId="3" xfId="22" applyNumberFormat="1" applyFont="1" applyFill="1" applyBorder="1" applyProtection="1">
      <protection hidden="1"/>
    </xf>
    <xf numFmtId="174" fontId="80" fillId="17" borderId="3" xfId="22" applyNumberFormat="1" applyFont="1" applyFill="1" applyBorder="1" applyProtection="1">
      <protection locked="0" hidden="1"/>
    </xf>
    <xf numFmtId="174" fontId="82" fillId="0" borderId="3" xfId="22" applyNumberFormat="1" applyFont="1" applyBorder="1" applyProtection="1">
      <protection hidden="1"/>
    </xf>
    <xf numFmtId="0" fontId="54" fillId="0" borderId="0" xfId="22" applyNumberFormat="1" applyFont="1" applyAlignment="1">
      <alignment horizontal="center"/>
    </xf>
    <xf numFmtId="44" fontId="5" fillId="0" borderId="0" xfId="23" applyFont="1" applyAlignment="1">
      <alignment horizontal="center"/>
    </xf>
    <xf numFmtId="44" fontId="6" fillId="0" borderId="0" xfId="23" applyFont="1" applyFill="1" applyBorder="1" applyAlignment="1">
      <alignment horizontal="center"/>
    </xf>
    <xf numFmtId="0" fontId="6" fillId="0" borderId="0" xfId="22" applyFont="1"/>
    <xf numFmtId="0" fontId="82" fillId="2" borderId="31" xfId="22" quotePrefix="1" applyFont="1" applyFill="1" applyBorder="1" applyAlignment="1" applyProtection="1">
      <alignment wrapText="1"/>
      <protection hidden="1"/>
    </xf>
    <xf numFmtId="0" fontId="82" fillId="2" borderId="0" xfId="22" quotePrefix="1" applyFont="1" applyFill="1" applyBorder="1" applyAlignment="1" applyProtection="1">
      <alignment wrapText="1"/>
      <protection hidden="1"/>
    </xf>
    <xf numFmtId="174" fontId="74" fillId="0" borderId="2" xfId="22" applyNumberFormat="1" applyFont="1" applyBorder="1" applyProtection="1">
      <protection hidden="1"/>
    </xf>
    <xf numFmtId="174" fontId="83" fillId="15" borderId="3" xfId="22" applyNumberFormat="1" applyFont="1" applyFill="1" applyBorder="1" applyAlignment="1" applyProtection="1">
      <alignment horizontal="right"/>
      <protection hidden="1"/>
    </xf>
    <xf numFmtId="174" fontId="81" fillId="15" borderId="3" xfId="22" applyNumberFormat="1" applyFont="1" applyFill="1" applyBorder="1" applyProtection="1">
      <protection hidden="1"/>
    </xf>
    <xf numFmtId="44" fontId="84" fillId="0" borderId="0" xfId="23" applyFont="1"/>
    <xf numFmtId="0" fontId="54" fillId="0" borderId="0" xfId="22" applyNumberFormat="1" applyFont="1" applyFill="1" applyBorder="1" applyAlignment="1">
      <alignment horizontal="center"/>
    </xf>
    <xf numFmtId="0" fontId="85" fillId="0" borderId="0" xfId="22" applyFont="1" applyFill="1" applyBorder="1" applyAlignment="1">
      <alignment horizontal="center"/>
    </xf>
    <xf numFmtId="0" fontId="3" fillId="0" borderId="0" xfId="22" applyFill="1" applyBorder="1"/>
    <xf numFmtId="44" fontId="0" fillId="0" borderId="0" xfId="23" applyFont="1"/>
    <xf numFmtId="174" fontId="81" fillId="0" borderId="0" xfId="22" applyNumberFormat="1" applyFont="1" applyBorder="1" applyAlignment="1" applyProtection="1">
      <alignment horizontal="right"/>
      <protection hidden="1"/>
    </xf>
    <xf numFmtId="174" fontId="83" fillId="0" borderId="0" xfId="22" applyNumberFormat="1" applyFont="1" applyBorder="1" applyAlignment="1" applyProtection="1">
      <alignment horizontal="right"/>
      <protection hidden="1"/>
    </xf>
    <xf numFmtId="174" fontId="81" fillId="0" borderId="0" xfId="22" applyNumberFormat="1" applyFont="1" applyBorder="1" applyProtection="1">
      <protection hidden="1"/>
    </xf>
    <xf numFmtId="0" fontId="56" fillId="0" borderId="0" xfId="22" applyNumberFormat="1" applyFont="1" applyFill="1" applyBorder="1" applyAlignment="1">
      <alignment horizontal="center"/>
    </xf>
    <xf numFmtId="0" fontId="81" fillId="2" borderId="31" xfId="22" quotePrefix="1" applyFont="1" applyFill="1" applyBorder="1" applyAlignment="1" applyProtection="1">
      <alignment horizontal="center" wrapText="1"/>
      <protection hidden="1"/>
    </xf>
    <xf numFmtId="174" fontId="81" fillId="0" borderId="0" xfId="22" applyNumberFormat="1" applyFont="1" applyBorder="1" applyAlignment="1" applyProtection="1">
      <alignment horizontal="center"/>
      <protection hidden="1"/>
    </xf>
    <xf numFmtId="174" fontId="3" fillId="0" borderId="0" xfId="22" applyNumberFormat="1" applyBorder="1" applyProtection="1">
      <protection hidden="1"/>
    </xf>
    <xf numFmtId="174" fontId="82" fillId="0" borderId="0" xfId="22" applyNumberFormat="1" applyFont="1" applyBorder="1" applyProtection="1">
      <protection hidden="1"/>
    </xf>
    <xf numFmtId="0" fontId="82" fillId="2" borderId="3" xfId="22" quotePrefix="1" applyFont="1" applyFill="1" applyBorder="1" applyAlignment="1" applyProtection="1">
      <alignment wrapText="1"/>
      <protection hidden="1"/>
    </xf>
    <xf numFmtId="3" fontId="82" fillId="0" borderId="3" xfId="22" quotePrefix="1" applyNumberFormat="1" applyFont="1" applyFill="1" applyBorder="1" applyAlignment="1" applyProtection="1">
      <alignment wrapText="1"/>
      <protection hidden="1"/>
    </xf>
    <xf numFmtId="174" fontId="81" fillId="0" borderId="3" xfId="22" quotePrefix="1" applyNumberFormat="1" applyFont="1" applyFill="1" applyBorder="1" applyAlignment="1" applyProtection="1">
      <alignment wrapText="1"/>
      <protection hidden="1"/>
    </xf>
    <xf numFmtId="44" fontId="86" fillId="0" borderId="0" xfId="23" applyFont="1" applyFill="1" applyBorder="1"/>
    <xf numFmtId="0" fontId="87" fillId="0" borderId="0" xfId="22" applyFont="1" applyFill="1" applyBorder="1" applyAlignment="1">
      <alignment horizontal="left"/>
    </xf>
    <xf numFmtId="0" fontId="3" fillId="0" borderId="31" xfId="22" applyBorder="1" applyProtection="1">
      <protection hidden="1"/>
    </xf>
    <xf numFmtId="174" fontId="80" fillId="0" borderId="0" xfId="22" applyNumberFormat="1" applyFont="1" applyBorder="1" applyProtection="1">
      <protection hidden="1"/>
    </xf>
    <xf numFmtId="174" fontId="74" fillId="0" borderId="3" xfId="24" applyNumberFormat="1" applyFont="1" applyBorder="1" applyProtection="1">
      <protection hidden="1"/>
    </xf>
    <xf numFmtId="174" fontId="80" fillId="0" borderId="3" xfId="22" applyNumberFormat="1" applyFont="1" applyBorder="1" applyAlignment="1" applyProtection="1">
      <alignment horizontal="left"/>
      <protection hidden="1"/>
    </xf>
    <xf numFmtId="0" fontId="86" fillId="0" borderId="0" xfId="22" applyFont="1" applyAlignment="1">
      <alignment horizontal="left"/>
    </xf>
    <xf numFmtId="0" fontId="82" fillId="0" borderId="4" xfId="22" applyFont="1" applyBorder="1" applyProtection="1">
      <protection hidden="1"/>
    </xf>
    <xf numFmtId="174" fontId="82" fillId="0" borderId="2" xfId="24" applyNumberFormat="1" applyFont="1" applyBorder="1" applyProtection="1">
      <protection hidden="1"/>
    </xf>
    <xf numFmtId="9" fontId="82" fillId="0" borderId="3" xfId="25" applyFont="1" applyBorder="1" applyProtection="1">
      <protection hidden="1"/>
    </xf>
    <xf numFmtId="174" fontId="82" fillId="0" borderId="3" xfId="24" applyNumberFormat="1" applyFont="1" applyBorder="1" applyProtection="1">
      <protection hidden="1"/>
    </xf>
    <xf numFmtId="174" fontId="83" fillId="0" borderId="3" xfId="22" applyNumberFormat="1" applyFont="1" applyBorder="1" applyAlignment="1" applyProtection="1">
      <alignment horizontal="left"/>
      <protection hidden="1"/>
    </xf>
    <xf numFmtId="0" fontId="81" fillId="0" borderId="0" xfId="22" applyFont="1" applyBorder="1" applyProtection="1">
      <protection hidden="1"/>
    </xf>
    <xf numFmtId="0" fontId="83" fillId="0" borderId="0" xfId="22" applyFont="1" applyBorder="1" applyProtection="1">
      <protection hidden="1"/>
    </xf>
    <xf numFmtId="174" fontId="81" fillId="0" borderId="0" xfId="24" applyNumberFormat="1" applyFont="1" applyBorder="1" applyProtection="1">
      <protection hidden="1"/>
    </xf>
    <xf numFmtId="0" fontId="3" fillId="0" borderId="0" xfId="22" applyBorder="1" applyProtection="1">
      <protection hidden="1"/>
    </xf>
    <xf numFmtId="2" fontId="3" fillId="0" borderId="0" xfId="22" applyNumberFormat="1" applyBorder="1" applyProtection="1">
      <protection hidden="1"/>
    </xf>
    <xf numFmtId="174" fontId="81" fillId="0" borderId="2" xfId="22" quotePrefix="1" applyNumberFormat="1" applyFont="1" applyFill="1" applyBorder="1" applyAlignment="1" applyProtection="1">
      <alignment wrapText="1"/>
      <protection hidden="1"/>
    </xf>
    <xf numFmtId="174" fontId="82" fillId="0" borderId="2" xfId="22" applyNumberFormat="1" applyFont="1" applyBorder="1" applyProtection="1">
      <protection hidden="1"/>
    </xf>
    <xf numFmtId="175" fontId="81" fillId="0" borderId="51" xfId="22" applyNumberFormat="1" applyFont="1" applyBorder="1" applyProtection="1">
      <protection hidden="1"/>
    </xf>
    <xf numFmtId="175" fontId="82" fillId="0" borderId="77" xfId="22" applyNumberFormat="1" applyFont="1" applyBorder="1" applyProtection="1">
      <protection hidden="1"/>
    </xf>
    <xf numFmtId="175" fontId="82" fillId="0" borderId="0" xfId="22" applyNumberFormat="1" applyFont="1" applyBorder="1" applyProtection="1">
      <protection hidden="1"/>
    </xf>
    <xf numFmtId="175" fontId="80" fillId="0" borderId="0" xfId="22" applyNumberFormat="1" applyFont="1" applyBorder="1" applyProtection="1">
      <protection hidden="1"/>
    </xf>
    <xf numFmtId="44" fontId="3" fillId="0" borderId="0" xfId="22" applyNumberFormat="1" applyFill="1"/>
    <xf numFmtId="8" fontId="6" fillId="0" borderId="0" xfId="0" applyNumberFormat="1" applyFont="1"/>
    <xf numFmtId="0" fontId="71" fillId="3" borderId="7" xfId="0" applyFont="1" applyFill="1" applyBorder="1" applyAlignment="1">
      <alignment horizontal="center" vertical="center" wrapText="1"/>
    </xf>
    <xf numFmtId="8" fontId="73" fillId="3" borderId="29" xfId="0" applyNumberFormat="1" applyFont="1" applyFill="1" applyBorder="1" applyAlignment="1">
      <alignment horizontal="right" vertical="center" wrapText="1"/>
    </xf>
    <xf numFmtId="8" fontId="71" fillId="3" borderId="29" xfId="0" applyNumberFormat="1" applyFont="1" applyFill="1" applyBorder="1" applyAlignment="1">
      <alignment horizontal="right" vertical="center" wrapText="1"/>
    </xf>
    <xf numFmtId="0" fontId="0" fillId="3" borderId="0" xfId="0" applyFill="1"/>
    <xf numFmtId="0" fontId="71" fillId="14" borderId="7" xfId="0" applyFont="1" applyFill="1" applyBorder="1" applyAlignment="1">
      <alignment horizontal="center" vertical="center" wrapText="1"/>
    </xf>
    <xf numFmtId="8" fontId="73" fillId="14" borderId="29" xfId="0" applyNumberFormat="1" applyFont="1" applyFill="1" applyBorder="1" applyAlignment="1">
      <alignment horizontal="right" vertical="center" wrapText="1"/>
    </xf>
    <xf numFmtId="8" fontId="71" fillId="14" borderId="29" xfId="0" applyNumberFormat="1" applyFont="1" applyFill="1" applyBorder="1" applyAlignment="1">
      <alignment horizontal="right" vertical="center" wrapText="1"/>
    </xf>
    <xf numFmtId="0" fontId="0" fillId="14" borderId="0" xfId="0" applyFill="1"/>
    <xf numFmtId="8" fontId="73" fillId="2" borderId="30" xfId="0" applyNumberFormat="1" applyFont="1" applyFill="1" applyBorder="1" applyAlignment="1">
      <alignment horizontal="right" vertical="center" wrapText="1"/>
    </xf>
    <xf numFmtId="8" fontId="70" fillId="2" borderId="30" xfId="0" applyNumberFormat="1" applyFont="1" applyFill="1" applyBorder="1" applyAlignment="1">
      <alignment horizontal="right" vertical="center" wrapText="1"/>
    </xf>
    <xf numFmtId="164" fontId="0" fillId="0" borderId="3" xfId="0" applyNumberFormat="1" applyBorder="1"/>
    <xf numFmtId="0" fontId="0" fillId="10" borderId="0" xfId="0" applyFill="1"/>
    <xf numFmtId="164" fontId="72" fillId="2" borderId="0" xfId="0" applyNumberFormat="1" applyFont="1" applyFill="1" applyBorder="1" applyAlignment="1">
      <alignment horizontal="right" vertical="center" wrapText="1"/>
    </xf>
    <xf numFmtId="164" fontId="70" fillId="2" borderId="0" xfId="0" applyNumberFormat="1" applyFont="1" applyFill="1" applyBorder="1" applyAlignment="1">
      <alignment horizontal="right" vertical="center" wrapText="1"/>
    </xf>
    <xf numFmtId="0" fontId="71" fillId="17" borderId="7" xfId="0" applyFont="1" applyFill="1" applyBorder="1" applyAlignment="1">
      <alignment horizontal="center" vertical="center" wrapText="1"/>
    </xf>
    <xf numFmtId="8" fontId="73" fillId="17" borderId="29" xfId="0" applyNumberFormat="1" applyFont="1" applyFill="1" applyBorder="1" applyAlignment="1">
      <alignment horizontal="right" vertical="center" wrapText="1"/>
    </xf>
    <xf numFmtId="8" fontId="71" fillId="17" borderId="29" xfId="0" applyNumberFormat="1" applyFont="1" applyFill="1" applyBorder="1" applyAlignment="1">
      <alignment horizontal="right" vertical="center" wrapText="1"/>
    </xf>
    <xf numFmtId="0" fontId="0" fillId="17" borderId="0" xfId="0" applyFill="1"/>
    <xf numFmtId="0" fontId="88" fillId="0" borderId="0" xfId="0" applyFont="1"/>
    <xf numFmtId="49" fontId="72" fillId="2" borderId="48" xfId="0" quotePrefix="1" applyNumberFormat="1" applyFont="1" applyFill="1" applyBorder="1" applyAlignment="1">
      <alignment horizontal="center" vertical="center" wrapText="1"/>
    </xf>
    <xf numFmtId="49" fontId="72" fillId="2" borderId="48" xfId="0" applyNumberFormat="1" applyFont="1" applyFill="1" applyBorder="1" applyAlignment="1">
      <alignment horizontal="center" vertical="center" wrapText="1"/>
    </xf>
    <xf numFmtId="49" fontId="72" fillId="2" borderId="49" xfId="0" quotePrefix="1" applyNumberFormat="1" applyFont="1" applyFill="1" applyBorder="1" applyAlignment="1">
      <alignment horizontal="center" vertical="center" wrapText="1"/>
    </xf>
    <xf numFmtId="49" fontId="72" fillId="2" borderId="49" xfId="0" applyNumberFormat="1" applyFont="1" applyFill="1" applyBorder="1" applyAlignment="1">
      <alignment horizontal="center" vertical="center" wrapText="1"/>
    </xf>
    <xf numFmtId="0" fontId="3" fillId="0" borderId="0" xfId="22" applyFont="1" applyFill="1" applyBorder="1" applyAlignment="1" applyProtection="1">
      <alignment horizontal="center" vertical="center" wrapText="1"/>
      <protection hidden="1"/>
    </xf>
    <xf numFmtId="0" fontId="79" fillId="0" borderId="31" xfId="22" applyFont="1" applyFill="1" applyBorder="1" applyProtection="1">
      <protection hidden="1"/>
    </xf>
    <xf numFmtId="174" fontId="84" fillId="0" borderId="4" xfId="23" applyNumberFormat="1" applyFont="1" applyBorder="1" applyProtection="1">
      <protection hidden="1"/>
    </xf>
    <xf numFmtId="174" fontId="81" fillId="15" borderId="3" xfId="22" applyNumberFormat="1" applyFont="1" applyFill="1" applyBorder="1" applyAlignment="1" applyProtection="1">
      <alignment horizontal="right"/>
      <protection hidden="1"/>
    </xf>
    <xf numFmtId="174" fontId="81" fillId="15" borderId="3" xfId="22" applyNumberFormat="1" applyFont="1" applyFill="1" applyBorder="1" applyAlignment="1" applyProtection="1">
      <protection hidden="1"/>
    </xf>
    <xf numFmtId="49" fontId="3" fillId="0" borderId="0" xfId="22" applyNumberFormat="1"/>
    <xf numFmtId="49" fontId="84" fillId="0" borderId="0" xfId="23" applyNumberFormat="1" applyFont="1" applyAlignment="1">
      <alignment horizontal="right"/>
    </xf>
    <xf numFmtId="49" fontId="2" fillId="0" borderId="0" xfId="22" applyNumberFormat="1" applyFont="1" applyFill="1" applyBorder="1" applyAlignment="1">
      <alignment horizontal="right"/>
    </xf>
    <xf numFmtId="9" fontId="80" fillId="17" borderId="3" xfId="22" applyNumberFormat="1" applyFont="1" applyFill="1" applyBorder="1" applyAlignment="1" applyProtection="1">
      <alignment horizontal="right"/>
      <protection locked="0" hidden="1"/>
    </xf>
    <xf numFmtId="9" fontId="3" fillId="0" borderId="0" xfId="22" applyNumberFormat="1"/>
    <xf numFmtId="174" fontId="82" fillId="0" borderId="0" xfId="22" applyNumberFormat="1" applyFont="1" applyFill="1" applyBorder="1" applyProtection="1">
      <protection hidden="1"/>
    </xf>
    <xf numFmtId="174" fontId="82" fillId="0" borderId="3" xfId="22" applyNumberFormat="1" applyFont="1" applyBorder="1" applyAlignment="1" applyProtection="1">
      <alignment vertical="center"/>
      <protection hidden="1"/>
    </xf>
    <xf numFmtId="0" fontId="43" fillId="0" borderId="31" xfId="22" applyFont="1" applyFill="1" applyBorder="1" applyAlignment="1" applyProtection="1">
      <alignment vertical="center"/>
      <protection hidden="1"/>
    </xf>
    <xf numFmtId="164" fontId="54" fillId="0" borderId="0" xfId="22" applyNumberFormat="1" applyFont="1" applyFill="1" applyAlignment="1" applyProtection="1">
      <alignment horizontal="center"/>
      <protection hidden="1"/>
    </xf>
    <xf numFmtId="0" fontId="7" fillId="0" borderId="24" xfId="22" applyFont="1" applyBorder="1" applyAlignment="1" applyProtection="1">
      <protection hidden="1"/>
    </xf>
    <xf numFmtId="10" fontId="7" fillId="0" borderId="26" xfId="22" applyNumberFormat="1" applyFont="1" applyBorder="1" applyProtection="1">
      <protection hidden="1"/>
    </xf>
    <xf numFmtId="0" fontId="3" fillId="0" borderId="26" xfId="22" applyBorder="1" applyProtection="1">
      <protection hidden="1"/>
    </xf>
    <xf numFmtId="0" fontId="6" fillId="0" borderId="26" xfId="22" applyFont="1" applyBorder="1" applyProtection="1">
      <protection hidden="1"/>
    </xf>
    <xf numFmtId="0" fontId="3" fillId="0" borderId="25" xfId="22" applyBorder="1" applyProtection="1">
      <protection hidden="1"/>
    </xf>
    <xf numFmtId="0" fontId="60" fillId="0" borderId="76" xfId="22" applyFont="1" applyBorder="1" applyAlignment="1" applyProtection="1">
      <alignment horizontal="center" vertical="center" wrapText="1"/>
      <protection hidden="1"/>
    </xf>
    <xf numFmtId="0" fontId="60" fillId="0" borderId="3" xfId="22" applyFont="1" applyBorder="1" applyAlignment="1" applyProtection="1">
      <alignment horizontal="center" vertical="center" wrapText="1"/>
      <protection hidden="1"/>
    </xf>
    <xf numFmtId="0" fontId="60" fillId="0" borderId="78" xfId="22" applyFont="1" applyFill="1" applyBorder="1" applyAlignment="1" applyProtection="1">
      <alignment horizontal="left" vertical="center" wrapText="1"/>
      <protection hidden="1"/>
    </xf>
    <xf numFmtId="174" fontId="80" fillId="0" borderId="0" xfId="22" applyNumberFormat="1" applyFont="1" applyFill="1" applyBorder="1" applyProtection="1">
      <protection hidden="1"/>
    </xf>
    <xf numFmtId="0" fontId="3" fillId="0" borderId="28" xfId="22" applyBorder="1" applyProtection="1">
      <protection hidden="1"/>
    </xf>
    <xf numFmtId="0" fontId="3" fillId="0" borderId="30" xfId="22" applyBorder="1" applyProtection="1">
      <protection hidden="1"/>
    </xf>
    <xf numFmtId="0" fontId="3" fillId="0" borderId="29" xfId="22" applyBorder="1" applyProtection="1">
      <protection hidden="1"/>
    </xf>
    <xf numFmtId="0" fontId="3" fillId="0" borderId="0" xfId="22" applyBorder="1" applyProtection="1">
      <protection locked="0" hidden="1"/>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18" xfId="0" applyFont="1" applyBorder="1" applyAlignment="1">
      <alignment horizontal="center"/>
    </xf>
    <xf numFmtId="0" fontId="12" fillId="0" borderId="21" xfId="0" applyFont="1" applyBorder="1" applyAlignment="1">
      <alignment horizontal="center"/>
    </xf>
    <xf numFmtId="0" fontId="28" fillId="0" borderId="18" xfId="0" applyFont="1" applyBorder="1" applyAlignment="1">
      <alignment horizontal="center"/>
    </xf>
    <xf numFmtId="0" fontId="28" fillId="0" borderId="6" xfId="0" applyFont="1" applyBorder="1" applyAlignment="1">
      <alignment horizontal="center"/>
    </xf>
    <xf numFmtId="0" fontId="27" fillId="0" borderId="5" xfId="0" applyFont="1" applyBorder="1" applyAlignment="1">
      <alignment horizontal="center"/>
    </xf>
    <xf numFmtId="0" fontId="27" fillId="0" borderId="7" xfId="0" applyFont="1" applyBorder="1" applyAlignment="1">
      <alignment horizontal="center"/>
    </xf>
    <xf numFmtId="0" fontId="26" fillId="0" borderId="5" xfId="0" applyFont="1" applyBorder="1" applyAlignment="1">
      <alignment horizontal="center"/>
    </xf>
    <xf numFmtId="0" fontId="26" fillId="0" borderId="21" xfId="0" applyFont="1" applyBorder="1" applyAlignment="1">
      <alignment horizontal="center"/>
    </xf>
    <xf numFmtId="0" fontId="26" fillId="0" borderId="7" xfId="0" applyFont="1" applyBorder="1" applyAlignment="1">
      <alignment horizontal="center"/>
    </xf>
    <xf numFmtId="164" fontId="54" fillId="3" borderId="0" xfId="0" applyNumberFormat="1" applyFont="1" applyFill="1" applyAlignment="1">
      <alignment horizontal="center" vertical="center"/>
    </xf>
    <xf numFmtId="0" fontId="5" fillId="0" borderId="0" xfId="0" applyFont="1" applyAlignment="1">
      <alignment horizontal="center" vertical="center"/>
    </xf>
    <xf numFmtId="0" fontId="82" fillId="2" borderId="4" xfId="22" quotePrefix="1" applyFont="1" applyFill="1" applyBorder="1" applyAlignment="1" applyProtection="1">
      <alignment horizontal="center" vertical="center" wrapText="1"/>
      <protection hidden="1"/>
    </xf>
    <xf numFmtId="0" fontId="82" fillId="2" borderId="43" xfId="22" quotePrefix="1" applyFont="1" applyFill="1" applyBorder="1" applyAlignment="1" applyProtection="1">
      <alignment horizontal="center" vertical="center" wrapText="1"/>
      <protection hidden="1"/>
    </xf>
    <xf numFmtId="0" fontId="82" fillId="2" borderId="2" xfId="22" quotePrefix="1" applyFont="1" applyFill="1" applyBorder="1" applyAlignment="1" applyProtection="1">
      <alignment horizontal="center" vertical="center" wrapText="1"/>
      <protection hidden="1"/>
    </xf>
    <xf numFmtId="164" fontId="54" fillId="0" borderId="0" xfId="22" applyNumberFormat="1" applyFont="1" applyFill="1" applyAlignment="1" applyProtection="1">
      <alignment horizontal="center"/>
      <protection hidden="1"/>
    </xf>
    <xf numFmtId="0" fontId="78" fillId="0" borderId="0" xfId="22" applyFont="1" applyFill="1" applyAlignment="1" applyProtection="1">
      <alignment horizontal="center" vertical="center" wrapText="1"/>
      <protection hidden="1"/>
    </xf>
    <xf numFmtId="174" fontId="81" fillId="0" borderId="4" xfId="22" applyNumberFormat="1" applyFont="1" applyBorder="1" applyAlignment="1" applyProtection="1">
      <alignment horizontal="right"/>
      <protection hidden="1"/>
    </xf>
    <xf numFmtId="174" fontId="81" fillId="0" borderId="2" xfId="22" applyNumberFormat="1" applyFont="1" applyBorder="1" applyAlignment="1" applyProtection="1">
      <alignment horizontal="right"/>
      <protection hidden="1"/>
    </xf>
    <xf numFmtId="174" fontId="74" fillId="0" borderId="4" xfId="22" applyNumberFormat="1" applyFont="1" applyBorder="1" applyAlignment="1" applyProtection="1">
      <alignment horizontal="right"/>
      <protection hidden="1"/>
    </xf>
    <xf numFmtId="174" fontId="74" fillId="0" borderId="2" xfId="22" applyNumberFormat="1" applyFont="1" applyBorder="1" applyAlignment="1" applyProtection="1">
      <alignment horizontal="right"/>
      <protection hidden="1"/>
    </xf>
    <xf numFmtId="0" fontId="82" fillId="0" borderId="4" xfId="22" applyFont="1" applyBorder="1" applyAlignment="1" applyProtection="1">
      <alignment horizontal="right"/>
      <protection hidden="1"/>
    </xf>
    <xf numFmtId="0" fontId="82" fillId="0" borderId="43" xfId="22" applyFont="1" applyBorder="1" applyAlignment="1" applyProtection="1">
      <alignment horizontal="right"/>
      <protection hidden="1"/>
    </xf>
    <xf numFmtId="0" fontId="82" fillId="0" borderId="2" xfId="22" applyFont="1" applyBorder="1" applyAlignment="1" applyProtection="1">
      <alignment horizontal="right"/>
      <protection hidden="1"/>
    </xf>
    <xf numFmtId="0" fontId="81" fillId="0" borderId="4" xfId="22" applyFont="1" applyBorder="1" applyAlignment="1" applyProtection="1">
      <alignment horizontal="right"/>
      <protection hidden="1"/>
    </xf>
    <xf numFmtId="0" fontId="81" fillId="0" borderId="43" xfId="22" applyFont="1" applyBorder="1" applyAlignment="1" applyProtection="1">
      <alignment horizontal="right"/>
      <protection hidden="1"/>
    </xf>
    <xf numFmtId="0" fontId="81" fillId="0" borderId="2" xfId="22" applyFont="1" applyBorder="1" applyAlignment="1" applyProtection="1">
      <alignment horizontal="right"/>
      <protection hidden="1"/>
    </xf>
    <xf numFmtId="0" fontId="1" fillId="0" borderId="0" xfId="22" applyFont="1" applyFill="1" applyBorder="1" applyAlignment="1" applyProtection="1">
      <alignment horizontal="left" vertical="center" wrapText="1"/>
      <protection hidden="1"/>
    </xf>
    <xf numFmtId="0" fontId="3" fillId="0" borderId="0" xfId="22" applyFont="1" applyFill="1" applyBorder="1" applyAlignment="1" applyProtection="1">
      <alignment horizontal="left" vertical="center" wrapText="1"/>
      <protection hidden="1"/>
    </xf>
    <xf numFmtId="0" fontId="43" fillId="0" borderId="0" xfId="22" applyFont="1" applyFill="1" applyBorder="1" applyAlignment="1" applyProtection="1">
      <alignment horizontal="left" vertical="center"/>
      <protection hidden="1"/>
    </xf>
    <xf numFmtId="0" fontId="36" fillId="0" borderId="1" xfId="0" applyFont="1" applyBorder="1" applyAlignment="1">
      <alignment horizontal="center" vertical="center" wrapText="1"/>
    </xf>
    <xf numFmtId="0" fontId="36" fillId="0" borderId="52" xfId="0" applyFont="1" applyBorder="1" applyAlignment="1">
      <alignment horizontal="center" vertical="center" wrapText="1"/>
    </xf>
    <xf numFmtId="0" fontId="55" fillId="0" borderId="54" xfId="0" applyFont="1" applyBorder="1" applyAlignment="1">
      <alignment horizontal="center" vertical="center"/>
    </xf>
    <xf numFmtId="0" fontId="55" fillId="0" borderId="58" xfId="0" applyFont="1" applyBorder="1" applyAlignment="1">
      <alignment horizontal="center" vertical="center"/>
    </xf>
  </cellXfs>
  <cellStyles count="26">
    <cellStyle name="Coma" xfId="21" builtinId="3"/>
    <cellStyle name="Coma 2" xfId="4"/>
    <cellStyle name="Coma 3" xfId="5"/>
    <cellStyle name="Coma 4" xfId="24"/>
    <cellStyle name="Millares 2" xfId="7"/>
    <cellStyle name="Millares 2 2" xfId="8"/>
    <cellStyle name="Moneda 2" xfId="9"/>
    <cellStyle name="Moneda 2 2" xfId="10"/>
    <cellStyle name="Moneda 3" xfId="23"/>
    <cellStyle name="Normal" xfId="0" builtinId="0"/>
    <cellStyle name="Normal 2" xfId="1"/>
    <cellStyle name="Normal 2 2" xfId="11"/>
    <cellStyle name="Normal 2 3" xfId="12"/>
    <cellStyle name="Normal 3" xfId="3"/>
    <cellStyle name="Normal 3 2" xfId="13"/>
    <cellStyle name="Normal 4" xfId="14"/>
    <cellStyle name="Normal 5" xfId="15"/>
    <cellStyle name="Normal 6" xfId="16"/>
    <cellStyle name="Normal 7" xfId="17"/>
    <cellStyle name="Normal 8" xfId="22"/>
    <cellStyle name="Percentatge" xfId="2" builtinId="5"/>
    <cellStyle name="Percentatge 2" xfId="18"/>
    <cellStyle name="Percentatge 3" xfId="6"/>
    <cellStyle name="Percentatge 4" xfId="25"/>
    <cellStyle name="Porcentaje 2" xfId="19"/>
    <cellStyle name="Porcentaje 3" xfId="20"/>
  </cellStyles>
  <dxfs count="9">
    <dxf>
      <font>
        <b/>
      </font>
      <alignment horizontal="center" vertical="bottom" textRotation="0" wrapText="0" indent="0" justifyLastLine="0" shrinkToFit="0" readingOrder="0"/>
    </dxf>
    <dxf>
      <font>
        <b val="0"/>
        <i val="0"/>
        <strike val="0"/>
        <condense val="0"/>
        <extend val="0"/>
        <outline val="0"/>
        <shadow val="0"/>
        <u val="none"/>
        <vertAlign val="baseline"/>
        <sz val="10"/>
        <color auto="1"/>
        <name val="DINPro-Regular"/>
        <scheme val="none"/>
      </font>
      <numFmt numFmtId="2" formatCode="0.00"/>
    </dxf>
    <dxf>
      <font>
        <b val="0"/>
        <i val="0"/>
        <strike val="0"/>
        <condense val="0"/>
        <extend val="0"/>
        <outline val="0"/>
        <shadow val="0"/>
        <u val="none"/>
        <vertAlign val="baseline"/>
        <sz val="10"/>
        <color auto="1"/>
        <name val="DINPro-Regular"/>
        <scheme val="none"/>
      </font>
      <numFmt numFmtId="170" formatCode="#,##0.00_);\(#,##0.00\)"/>
    </dxf>
    <dxf>
      <font>
        <b val="0"/>
        <i val="0"/>
        <strike val="0"/>
        <condense val="0"/>
        <extend val="0"/>
        <outline val="0"/>
        <shadow val="0"/>
        <u val="none"/>
        <vertAlign val="baseline"/>
        <sz val="10"/>
        <color auto="1"/>
        <name val="DINPro-Regular"/>
        <scheme val="none"/>
      </font>
      <numFmt numFmtId="170" formatCode="#,##0.00_);\(#,##0.00\)"/>
    </dxf>
    <dxf>
      <font>
        <b val="0"/>
        <i val="0"/>
        <strike val="0"/>
        <condense val="0"/>
        <extend val="0"/>
        <outline val="0"/>
        <shadow val="0"/>
        <u val="none"/>
        <vertAlign val="baseline"/>
        <sz val="10"/>
        <color auto="1"/>
        <name val="DINPro-Regular"/>
        <scheme val="none"/>
      </font>
      <numFmt numFmtId="168" formatCode="#,##0_);\(#,##0\)"/>
    </dxf>
    <dxf>
      <font>
        <b val="0"/>
        <i val="0"/>
        <strike val="0"/>
        <condense val="0"/>
        <extend val="0"/>
        <outline val="0"/>
        <shadow val="0"/>
        <u val="none"/>
        <vertAlign val="baseline"/>
        <sz val="10"/>
        <color auto="1"/>
        <name val="DINPro-Regular"/>
        <scheme val="none"/>
      </font>
      <numFmt numFmtId="4" formatCode="#,##0.00"/>
    </dxf>
    <dxf>
      <font>
        <b/>
        <i val="0"/>
        <strike val="0"/>
        <condense val="0"/>
        <extend val="0"/>
        <outline val="0"/>
        <shadow val="0"/>
        <u val="none"/>
        <vertAlign val="baseline"/>
        <sz val="10"/>
        <color auto="1"/>
        <name val="DINPro-Regular"/>
        <scheme val="none"/>
      </font>
      <numFmt numFmtId="168" formatCode="#,##0_);\(#,##0\)"/>
    </dxf>
    <dxf>
      <font>
        <b val="0"/>
        <i val="0"/>
        <strike val="0"/>
        <condense val="0"/>
        <extend val="0"/>
        <outline val="0"/>
        <shadow val="0"/>
        <u val="none"/>
        <vertAlign val="baseline"/>
        <sz val="10"/>
        <color auto="1"/>
        <name val="DINPro-Regular"/>
        <scheme val="none"/>
      </font>
    </dxf>
    <dxf>
      <font>
        <b val="0"/>
        <i val="0"/>
        <strike val="0"/>
        <condense val="0"/>
        <extend val="0"/>
        <outline val="0"/>
        <shadow val="0"/>
        <u val="none"/>
        <vertAlign val="baseline"/>
        <sz val="11"/>
        <color auto="1"/>
        <name val="Calibri"/>
        <scheme val="minor"/>
      </font>
      <numFmt numFmtId="168" formatCode="#,##0_);\(#,##0\)"/>
    </dxf>
  </dxfs>
  <tableStyles count="0" defaultTableStyle="TableStyleMedium9" defaultPivotStyle="PivotStyleLight16"/>
  <colors>
    <mruColors>
      <color rgb="FFF1FDC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628650</xdr:colOff>
      <xdr:row>17</xdr:row>
      <xdr:rowOff>123826</xdr:rowOff>
    </xdr:from>
    <xdr:to>
      <xdr:col>23</xdr:col>
      <xdr:colOff>752475</xdr:colOff>
      <xdr:row>22</xdr:row>
      <xdr:rowOff>19051</xdr:rowOff>
    </xdr:to>
    <xdr:sp macro="" textlink="">
      <xdr:nvSpPr>
        <xdr:cNvPr id="2" name="QuadreDeText 1"/>
        <xdr:cNvSpPr txBox="1"/>
      </xdr:nvSpPr>
      <xdr:spPr>
        <a:xfrm>
          <a:off x="11972925" y="4000501"/>
          <a:ext cx="42481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100" b="1"/>
            <a:t>VE</a:t>
          </a:r>
          <a:r>
            <a:rPr lang="ca-ES" sz="1100" b="1" baseline="0"/>
            <a:t> modificacions:</a:t>
          </a:r>
        </a:p>
        <a:p>
          <a:r>
            <a:rPr lang="ca-ES" sz="1100" baseline="0"/>
            <a:t>Calculades sense l'import de les provisions, per tant seràn el preu net restant-lis les provisions.</a:t>
          </a:r>
          <a:endParaRPr lang="ca-ES" sz="1100"/>
        </a:p>
      </xdr:txBody>
    </xdr:sp>
    <xdr:clientData/>
  </xdr:twoCellAnchor>
  <xdr:twoCellAnchor editAs="oneCell">
    <xdr:from>
      <xdr:col>16</xdr:col>
      <xdr:colOff>0</xdr:colOff>
      <xdr:row>30</xdr:row>
      <xdr:rowOff>0</xdr:rowOff>
    </xdr:from>
    <xdr:to>
      <xdr:col>23</xdr:col>
      <xdr:colOff>1092628</xdr:colOff>
      <xdr:row>47</xdr:row>
      <xdr:rowOff>31890</xdr:rowOff>
    </xdr:to>
    <xdr:pic>
      <xdr:nvPicPr>
        <xdr:cNvPr id="3" name="Imatge 2"/>
        <xdr:cNvPicPr>
          <a:picLocks noChangeAspect="1"/>
        </xdr:cNvPicPr>
      </xdr:nvPicPr>
      <xdr:blipFill>
        <a:blip xmlns:r="http://schemas.openxmlformats.org/officeDocument/2006/relationships" r:embed="rId1"/>
        <a:stretch>
          <a:fillRect/>
        </a:stretch>
      </xdr:blipFill>
      <xdr:spPr>
        <a:xfrm>
          <a:off x="9791700" y="5867400"/>
          <a:ext cx="8331628" cy="2730640"/>
        </a:xfrm>
        <a:prstGeom prst="rect">
          <a:avLst/>
        </a:prstGeom>
      </xdr:spPr>
    </xdr:pic>
    <xdr:clientData/>
  </xdr:twoCellAnchor>
</xdr:wsDr>
</file>

<file path=xl/tables/table1.xml><?xml version="1.0" encoding="utf-8"?>
<table xmlns="http://schemas.openxmlformats.org/spreadsheetml/2006/main" id="1" name="Tabla145152751" displayName="Tabla145152751" ref="B5:H12" totalsRowShown="0" headerRowDxfId="8" dataDxfId="7" headerRowCellStyle="Normal 2" dataCellStyle="Normal 2">
  <autoFilter ref="B5:H12"/>
  <tableColumns count="7">
    <tableColumn id="1" name="ANUALITAT" dataDxfId="6" dataCellStyle="Normal 2"/>
    <tableColumn id="2" name="Columna2" dataDxfId="5" dataCellStyle="Normal 2"/>
    <tableColumn id="3" name="increment" dataDxfId="4" dataCellStyle="Normal 2"/>
    <tableColumn id="4" name="PAGAMENT" dataDxfId="3" dataCellStyle="Normal 2"/>
    <tableColumn id="5" name="COST" dataDxfId="2" dataCellStyle="Normal 2"/>
    <tableColumn id="6" name="diferencia" dataDxfId="1" dataCellStyle="Normal 2"/>
    <tableColumn id="7" name="SUPOSIT increment %" dataDxfId="0"/>
  </tableColumns>
  <tableStyleInfo name="TableStyleLight2" showFirstColumn="0" showLastColumn="0" showRowStripes="1" showColumnStripes="0"/>
</table>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1"/>
  <dimension ref="A1:H12"/>
  <sheetViews>
    <sheetView workbookViewId="0">
      <selection activeCell="H20" sqref="H20"/>
    </sheetView>
  </sheetViews>
  <sheetFormatPr defaultColWidth="8.88671875" defaultRowHeight="13.2"/>
  <cols>
    <col min="1" max="1" width="14.5546875" customWidth="1"/>
    <col min="4" max="4" width="13.88671875" customWidth="1"/>
    <col min="5" max="6" width="15.44140625" bestFit="1" customWidth="1"/>
    <col min="7" max="7" width="11.5546875" bestFit="1" customWidth="1"/>
    <col min="8" max="8" width="23.88671875" bestFit="1" customWidth="1"/>
  </cols>
  <sheetData>
    <row r="1" spans="1:8" s="2" customFormat="1">
      <c r="A1" s="2" t="s">
        <v>134</v>
      </c>
    </row>
    <row r="3" spans="1:8" ht="14.4">
      <c r="B3" s="171" t="s">
        <v>72</v>
      </c>
      <c r="C3" s="171"/>
      <c r="D3" s="171" t="s">
        <v>82</v>
      </c>
      <c r="E3" s="171"/>
      <c r="F3" s="171"/>
      <c r="G3" s="172"/>
      <c r="H3" s="171" t="s">
        <v>73</v>
      </c>
    </row>
    <row r="4" spans="1:8" ht="14.4">
      <c r="B4" s="173"/>
      <c r="G4" s="138"/>
      <c r="H4" s="174"/>
    </row>
    <row r="5" spans="1:8" ht="14.4">
      <c r="B5" s="175" t="s">
        <v>74</v>
      </c>
      <c r="C5" s="176" t="s">
        <v>75</v>
      </c>
      <c r="D5" s="177" t="s">
        <v>76</v>
      </c>
      <c r="E5" s="177" t="s">
        <v>77</v>
      </c>
      <c r="F5" s="177" t="s">
        <v>78</v>
      </c>
      <c r="G5" s="178" t="s">
        <v>79</v>
      </c>
      <c r="H5" s="179" t="s">
        <v>80</v>
      </c>
    </row>
    <row r="6" spans="1:8" ht="14.4">
      <c r="B6" s="175"/>
      <c r="C6" s="176"/>
      <c r="D6" s="177">
        <v>0</v>
      </c>
      <c r="E6" s="177">
        <v>1000</v>
      </c>
      <c r="F6" s="177">
        <v>1000</v>
      </c>
      <c r="G6" s="178">
        <f t="shared" ref="G6:G11" si="0">+E6-F6</f>
        <v>0</v>
      </c>
      <c r="H6" s="179">
        <v>0</v>
      </c>
    </row>
    <row r="7" spans="1:8" ht="18.600000000000001">
      <c r="B7" s="180">
        <v>2025</v>
      </c>
      <c r="C7" s="181"/>
      <c r="D7" s="182">
        <f>(F11-4000)/4/1000</f>
        <v>0.11442931249999992</v>
      </c>
      <c r="E7" s="183">
        <f>+E6+E6*$D$7</f>
        <v>1114.4293124999999</v>
      </c>
      <c r="F7" s="184">
        <f>+F6+F6*H7</f>
        <v>1050</v>
      </c>
      <c r="G7" s="178">
        <f t="shared" si="0"/>
        <v>64.429312499999924</v>
      </c>
      <c r="H7" s="185">
        <v>0.05</v>
      </c>
    </row>
    <row r="8" spans="1:8" ht="14.4">
      <c r="B8" s="180">
        <v>2026</v>
      </c>
      <c r="C8" s="181"/>
      <c r="D8" s="186"/>
      <c r="E8" s="183">
        <f>+E7</f>
        <v>1114.4293124999999</v>
      </c>
      <c r="F8" s="184">
        <f>+F7+F7*H8</f>
        <v>1102.5</v>
      </c>
      <c r="G8" s="178">
        <f t="shared" si="0"/>
        <v>11.929312499999924</v>
      </c>
      <c r="H8" s="185">
        <v>0.05</v>
      </c>
    </row>
    <row r="9" spans="1:8" ht="14.4">
      <c r="B9" s="180">
        <v>2027</v>
      </c>
      <c r="C9" s="181"/>
      <c r="D9" s="187"/>
      <c r="E9" s="183">
        <f>+E7</f>
        <v>1114.4293124999999</v>
      </c>
      <c r="F9" s="184">
        <f>+F8+F8*H9</f>
        <v>1135.575</v>
      </c>
      <c r="G9" s="178">
        <f t="shared" si="0"/>
        <v>-21.145687500000122</v>
      </c>
      <c r="H9" s="185">
        <v>0.03</v>
      </c>
    </row>
    <row r="10" spans="1:8" ht="14.4">
      <c r="B10" s="180">
        <v>2028</v>
      </c>
      <c r="C10" s="181"/>
      <c r="D10" s="187"/>
      <c r="E10" s="183">
        <f>+E9</f>
        <v>1114.4293124999999</v>
      </c>
      <c r="F10" s="184">
        <f>+F9+F9*H10</f>
        <v>1169.6422500000001</v>
      </c>
      <c r="G10" s="178">
        <f t="shared" si="0"/>
        <v>-55.21293750000018</v>
      </c>
      <c r="H10" s="185">
        <v>0.03</v>
      </c>
    </row>
    <row r="11" spans="1:8" ht="18.600000000000001">
      <c r="B11" s="188" t="s">
        <v>81</v>
      </c>
      <c r="C11" s="189"/>
      <c r="D11" s="190"/>
      <c r="E11" s="191">
        <f>SUM(E7:E10)</f>
        <v>4457.7172499999997</v>
      </c>
      <c r="F11" s="192">
        <f>SUM(F7:F10)</f>
        <v>4457.7172499999997</v>
      </c>
      <c r="G11" s="193">
        <f t="shared" si="0"/>
        <v>0</v>
      </c>
      <c r="H11" s="194"/>
    </row>
    <row r="12" spans="1:8" ht="13.8">
      <c r="B12" s="180"/>
      <c r="C12" s="181"/>
      <c r="D12" s="187"/>
      <c r="E12" s="187"/>
      <c r="F12" s="187"/>
      <c r="G12" s="195"/>
      <c r="H12" s="196"/>
    </row>
  </sheetData>
  <pageMargins left="0.23622047244094491" right="0.23622047244094491" top="0.74803149606299213" bottom="0.74803149606299213" header="0.31496062992125984" footer="0.31496062992125984"/>
  <pageSetup paperSize="9" orientation="landscape" r:id="rId1"/>
  <headerFooter>
    <oddFooter>&amp;L&amp;F&amp;R&amp;A</oddFooter>
  </headerFooter>
  <customProperties>
    <customPr name="EpmWorksheetKeyString_GU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2">
    <pageSetUpPr fitToPage="1"/>
  </sheetPr>
  <dimension ref="A1:J40"/>
  <sheetViews>
    <sheetView topLeftCell="A24" workbookViewId="0">
      <selection activeCell="I33" sqref="I33"/>
    </sheetView>
  </sheetViews>
  <sheetFormatPr defaultColWidth="8.88671875" defaultRowHeight="13.2"/>
  <cols>
    <col min="2" max="2" width="87.44140625" customWidth="1"/>
    <col min="3" max="3" width="12.5546875" bestFit="1" customWidth="1"/>
    <col min="4" max="4" width="12.88671875" bestFit="1" customWidth="1"/>
    <col min="5" max="5" width="17.5546875" customWidth="1"/>
    <col min="6" max="6" width="11.109375" style="5" customWidth="1"/>
    <col min="7" max="7" width="12.44140625" style="152" customWidth="1"/>
    <col min="8" max="8" width="14.44140625" style="152" customWidth="1"/>
    <col min="9" max="9" width="13" style="5" customWidth="1"/>
    <col min="10" max="10" width="13.109375" style="5" customWidth="1"/>
  </cols>
  <sheetData>
    <row r="1" spans="1:10" ht="15.6">
      <c r="B1" s="123"/>
      <c r="C1" s="124"/>
      <c r="D1" s="124"/>
      <c r="E1" s="125" t="s">
        <v>42</v>
      </c>
      <c r="F1" s="126" t="s">
        <v>48</v>
      </c>
      <c r="G1" s="159"/>
      <c r="H1" s="164"/>
      <c r="I1" s="169"/>
      <c r="J1" s="159"/>
    </row>
    <row r="2" spans="1:10" ht="16.649999999999999" customHeight="1">
      <c r="B2" s="129" t="s">
        <v>43</v>
      </c>
      <c r="C2" s="130">
        <f>C3-C4</f>
        <v>1700</v>
      </c>
      <c r="D2" s="139" t="s">
        <v>44</v>
      </c>
      <c r="E2" s="127"/>
    </row>
    <row r="3" spans="1:10" ht="13.35" customHeight="1">
      <c r="B3" s="131" t="s">
        <v>45</v>
      </c>
      <c r="C3" s="132">
        <v>1724</v>
      </c>
      <c r="D3" s="140" t="s">
        <v>46</v>
      </c>
      <c r="E3" s="127"/>
    </row>
    <row r="4" spans="1:10" ht="13.35" customHeight="1">
      <c r="B4" s="135" t="s">
        <v>71</v>
      </c>
      <c r="C4" s="136">
        <v>24</v>
      </c>
      <c r="D4" s="134" t="s">
        <v>47</v>
      </c>
      <c r="E4" s="133"/>
    </row>
    <row r="5" spans="1:10" ht="21">
      <c r="B5" s="88"/>
      <c r="C5" s="88"/>
      <c r="D5" s="88"/>
      <c r="E5" s="88"/>
      <c r="F5" s="137"/>
      <c r="G5" s="137"/>
      <c r="H5" s="137"/>
      <c r="I5" s="137"/>
      <c r="J5" s="137"/>
    </row>
    <row r="6" spans="1:10">
      <c r="B6" s="2"/>
      <c r="C6" s="2"/>
      <c r="D6" s="1" t="s">
        <v>50</v>
      </c>
      <c r="E6" s="2"/>
    </row>
    <row r="7" spans="1:10">
      <c r="B7" s="2"/>
      <c r="C7" s="2"/>
      <c r="D7" s="141">
        <v>1724</v>
      </c>
      <c r="E7" s="2"/>
    </row>
    <row r="8" spans="1:10">
      <c r="B8" s="2"/>
      <c r="C8" s="2"/>
      <c r="D8" s="142" t="s">
        <v>51</v>
      </c>
      <c r="E8" s="2"/>
    </row>
    <row r="9" spans="1:10">
      <c r="B9" s="143" t="s">
        <v>53</v>
      </c>
      <c r="C9" s="297">
        <v>2024</v>
      </c>
      <c r="D9" s="144">
        <f>D7-24</f>
        <v>1700</v>
      </c>
      <c r="E9" s="145">
        <v>0.1</v>
      </c>
      <c r="F9" s="1" t="s">
        <v>54</v>
      </c>
      <c r="G9" s="137"/>
    </row>
    <row r="10" spans="1:10">
      <c r="B10" s="2"/>
      <c r="C10" s="297" t="s">
        <v>55</v>
      </c>
      <c r="D10" s="1" t="s">
        <v>56</v>
      </c>
      <c r="E10" s="1" t="s">
        <v>57</v>
      </c>
    </row>
    <row r="11" spans="1:10">
      <c r="C11" s="298"/>
      <c r="E11" s="146"/>
    </row>
    <row r="12" spans="1:10">
      <c r="A12" s="147" t="s">
        <v>126</v>
      </c>
      <c r="B12" s="147" t="s">
        <v>58</v>
      </c>
      <c r="C12" s="299">
        <v>30703.55</v>
      </c>
      <c r="D12" s="148">
        <f t="shared" ref="D12:D17" si="0">C12/$D$9</f>
        <v>18.060911764705882</v>
      </c>
      <c r="E12" s="149">
        <f t="shared" ref="E12:E17" si="1">D12*$E$9</f>
        <v>1.8060911764705883</v>
      </c>
    </row>
    <row r="13" spans="1:10">
      <c r="A13" s="147"/>
      <c r="B13" s="147" t="s">
        <v>124</v>
      </c>
      <c r="C13" s="299">
        <v>25922.15</v>
      </c>
      <c r="D13" s="148">
        <f t="shared" si="0"/>
        <v>15.248323529411765</v>
      </c>
      <c r="E13" s="149">
        <f t="shared" si="1"/>
        <v>1.5248323529411767</v>
      </c>
    </row>
    <row r="14" spans="1:10">
      <c r="A14" s="147" t="s">
        <v>125</v>
      </c>
      <c r="B14" s="147" t="s">
        <v>129</v>
      </c>
      <c r="C14" s="299">
        <v>24677.81</v>
      </c>
      <c r="D14" s="148">
        <f t="shared" si="0"/>
        <v>14.516358823529412</v>
      </c>
      <c r="E14" s="149">
        <f t="shared" si="1"/>
        <v>1.4516358823529414</v>
      </c>
    </row>
    <row r="15" spans="1:10">
      <c r="A15" s="147" t="s">
        <v>127</v>
      </c>
      <c r="B15" s="147" t="s">
        <v>128</v>
      </c>
      <c r="C15" s="299">
        <v>22319.07</v>
      </c>
      <c r="D15" s="148">
        <f t="shared" si="0"/>
        <v>13.128864705882354</v>
      </c>
      <c r="E15" s="149">
        <f t="shared" si="1"/>
        <v>1.3128864705882355</v>
      </c>
    </row>
    <row r="16" spans="1:10">
      <c r="A16" s="147"/>
      <c r="B16" s="147" t="s">
        <v>130</v>
      </c>
      <c r="C16" s="299">
        <v>19546.099999999999</v>
      </c>
      <c r="D16" s="148">
        <f t="shared" si="0"/>
        <v>11.497705882352941</v>
      </c>
      <c r="E16" s="149">
        <f t="shared" si="1"/>
        <v>1.1497705882352942</v>
      </c>
    </row>
    <row r="17" spans="1:10">
      <c r="A17" s="147" t="s">
        <v>131</v>
      </c>
      <c r="B17" s="150" t="s">
        <v>132</v>
      </c>
      <c r="C17" s="299">
        <v>16999.830000000002</v>
      </c>
      <c r="D17" s="148">
        <f t="shared" si="0"/>
        <v>9.9999000000000002</v>
      </c>
      <c r="E17" s="149">
        <f t="shared" si="1"/>
        <v>0.99999000000000005</v>
      </c>
    </row>
    <row r="18" spans="1:10">
      <c r="B18" s="151"/>
      <c r="C18" s="300"/>
    </row>
    <row r="19" spans="1:10" ht="26.4">
      <c r="B19" s="153" t="s">
        <v>133</v>
      </c>
      <c r="C19" s="301" t="s">
        <v>59</v>
      </c>
      <c r="D19" s="154" t="s">
        <v>60</v>
      </c>
    </row>
    <row r="20" spans="1:10">
      <c r="B20" s="150" t="s">
        <v>61</v>
      </c>
      <c r="C20" s="302">
        <v>289.06</v>
      </c>
      <c r="D20" s="150">
        <f>C20*14</f>
        <v>4046.84</v>
      </c>
      <c r="E20" s="155">
        <f>D20*$E$9/$D$9</f>
        <v>0.2380494117647059</v>
      </c>
    </row>
    <row r="21" spans="1:10">
      <c r="B21" s="147" t="s">
        <v>62</v>
      </c>
      <c r="C21" s="302">
        <v>92.92</v>
      </c>
      <c r="D21" s="150">
        <f>C21*14</f>
        <v>1300.8800000000001</v>
      </c>
      <c r="E21" s="155">
        <f>D21*$E$9/$D$9</f>
        <v>7.6522352941176486E-2</v>
      </c>
    </row>
    <row r="22" spans="1:10">
      <c r="B22" s="150" t="s">
        <v>63</v>
      </c>
      <c r="C22" s="147" t="s">
        <v>64</v>
      </c>
      <c r="D22" s="147"/>
    </row>
    <row r="23" spans="1:10">
      <c r="E23" s="112"/>
      <c r="F23" s="160"/>
      <c r="G23" s="160"/>
    </row>
    <row r="24" spans="1:10">
      <c r="B24" t="s">
        <v>65</v>
      </c>
      <c r="E24" s="156"/>
      <c r="F24" s="170"/>
      <c r="G24" s="161"/>
    </row>
    <row r="26" spans="1:10" s="157" customFormat="1" ht="24.6">
      <c r="B26" s="157" t="s">
        <v>112</v>
      </c>
      <c r="F26" s="168"/>
      <c r="G26" s="162"/>
      <c r="H26" s="162"/>
      <c r="I26" s="168"/>
      <c r="J26" s="168"/>
    </row>
    <row r="28" spans="1:10" s="166" customFormat="1" ht="39.6">
      <c r="C28" s="167" t="s">
        <v>52</v>
      </c>
      <c r="D28" s="167" t="s">
        <v>50</v>
      </c>
      <c r="E28" s="167" t="s">
        <v>51</v>
      </c>
      <c r="F28" s="165" t="s">
        <v>68</v>
      </c>
      <c r="G28" s="165" t="s">
        <v>69</v>
      </c>
      <c r="H28" s="165" t="s">
        <v>66</v>
      </c>
      <c r="I28" s="165" t="s">
        <v>70</v>
      </c>
    </row>
    <row r="29" spans="1:10" s="94" customFormat="1">
      <c r="B29" s="167" t="s">
        <v>135</v>
      </c>
      <c r="C29" s="128"/>
      <c r="D29" s="128"/>
      <c r="E29" s="128"/>
      <c r="F29" s="163"/>
      <c r="G29" s="163"/>
      <c r="H29" s="163"/>
      <c r="I29" s="163"/>
    </row>
    <row r="30" spans="1:10" s="94" customFormat="1">
      <c r="B30" s="310" t="s">
        <v>136</v>
      </c>
      <c r="C30" s="136">
        <v>1</v>
      </c>
      <c r="D30" s="311">
        <f>C30*$C$3</f>
        <v>1724</v>
      </c>
      <c r="E30" s="311">
        <f>C30*$C$2</f>
        <v>1700</v>
      </c>
      <c r="F30" s="158" t="s">
        <v>67</v>
      </c>
      <c r="G30" s="293" t="s">
        <v>67</v>
      </c>
      <c r="H30" s="294">
        <v>0.1</v>
      </c>
      <c r="I30" s="294">
        <v>0.1</v>
      </c>
    </row>
    <row r="31" spans="1:10" s="94" customFormat="1">
      <c r="B31" s="310" t="s">
        <v>139</v>
      </c>
      <c r="C31" s="136">
        <v>1</v>
      </c>
      <c r="D31" s="311">
        <f>C31*$C$3</f>
        <v>1724</v>
      </c>
      <c r="E31" s="311">
        <f>C31*$C$2</f>
        <v>1700</v>
      </c>
      <c r="F31" s="158"/>
      <c r="G31" s="293" t="s">
        <v>67</v>
      </c>
      <c r="H31" s="294">
        <v>0</v>
      </c>
      <c r="I31" s="294">
        <v>0</v>
      </c>
    </row>
    <row r="32" spans="1:10" s="94" customFormat="1">
      <c r="B32" s="310" t="s">
        <v>138</v>
      </c>
      <c r="C32" s="136">
        <v>1</v>
      </c>
      <c r="D32" s="311">
        <f>C32*$C$3</f>
        <v>1724</v>
      </c>
      <c r="E32" s="311">
        <f>C32*$C$2</f>
        <v>1700</v>
      </c>
      <c r="F32" s="158"/>
      <c r="G32" s="293" t="s">
        <v>67</v>
      </c>
      <c r="H32" s="294">
        <v>0</v>
      </c>
      <c r="I32" s="294">
        <v>0</v>
      </c>
    </row>
    <row r="33" spans="1:9" s="94" customFormat="1">
      <c r="B33" s="167" t="s">
        <v>113</v>
      </c>
      <c r="C33" s="136"/>
      <c r="D33" s="311"/>
      <c r="E33" s="311"/>
      <c r="F33" s="158"/>
      <c r="G33" s="293"/>
      <c r="H33" s="295"/>
      <c r="I33" s="295"/>
    </row>
    <row r="34" spans="1:9" s="94" customFormat="1">
      <c r="A34" s="94" t="s">
        <v>140</v>
      </c>
      <c r="B34" s="310" t="s">
        <v>141</v>
      </c>
      <c r="C34" s="136">
        <v>2</v>
      </c>
      <c r="D34" s="311">
        <f>C34*$C$3</f>
        <v>3448</v>
      </c>
      <c r="E34" s="311">
        <f>C34*$C$2</f>
        <v>3400</v>
      </c>
      <c r="F34" s="158" t="s">
        <v>67</v>
      </c>
      <c r="G34" s="293" t="s">
        <v>67</v>
      </c>
      <c r="H34" s="294">
        <v>0.3</v>
      </c>
      <c r="I34" s="294">
        <v>0.1</v>
      </c>
    </row>
    <row r="35" spans="1:9" s="94" customFormat="1">
      <c r="B35" s="310" t="s">
        <v>137</v>
      </c>
      <c r="C35" s="312">
        <f>10/(365-104-14-3-22)*(365-104-14-3)</f>
        <v>10.990990990990991</v>
      </c>
      <c r="D35" s="311">
        <f>C35*$C$3</f>
        <v>18948.468468468469</v>
      </c>
      <c r="E35" s="311">
        <f>C35*$C$2</f>
        <v>18684.684684684686</v>
      </c>
      <c r="F35" s="158"/>
      <c r="G35" s="293" t="s">
        <v>67</v>
      </c>
      <c r="H35" s="294">
        <v>0.3</v>
      </c>
      <c r="I35" s="294">
        <v>0.1</v>
      </c>
    </row>
    <row r="36" spans="1:9" s="94" customFormat="1" ht="26.4">
      <c r="B36" s="310" t="s">
        <v>142</v>
      </c>
      <c r="C36" s="312">
        <f>4/(365-104-14-3-22)*(365-104-14-3)</f>
        <v>4.3963963963963968</v>
      </c>
      <c r="D36" s="311">
        <f>C36*$C$3</f>
        <v>7579.3873873873881</v>
      </c>
      <c r="E36" s="311">
        <f>C36*$C$2</f>
        <v>7473.8738738738748</v>
      </c>
      <c r="F36" s="158"/>
      <c r="G36" s="293" t="s">
        <v>67</v>
      </c>
      <c r="H36" s="294">
        <v>0.3</v>
      </c>
      <c r="I36" s="294">
        <v>0.1</v>
      </c>
    </row>
    <row r="37" spans="1:9">
      <c r="C37" s="1"/>
    </row>
    <row r="38" spans="1:9">
      <c r="C38">
        <f>SUM(C30:C36)</f>
        <v>20.387387387387388</v>
      </c>
      <c r="D38" s="291"/>
      <c r="E38" s="291"/>
    </row>
    <row r="40" spans="1:9">
      <c r="C40" s="292"/>
    </row>
  </sheetData>
  <pageMargins left="0.23622047244094491" right="0.23622047244094491" top="0.74803149606299213" bottom="0.74803149606299213" header="0.31496062992125984" footer="0.31496062992125984"/>
  <pageSetup paperSize="9" scale="75" orientation="landscape" r:id="rId1"/>
  <headerFooter>
    <oddFooter>&amp;L&amp;F&amp;R&amp;A</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4"/>
  <dimension ref="A1:K19"/>
  <sheetViews>
    <sheetView topLeftCell="E1" workbookViewId="0">
      <selection activeCell="H1" sqref="H1"/>
    </sheetView>
  </sheetViews>
  <sheetFormatPr defaultColWidth="9.109375" defaultRowHeight="15.6"/>
  <cols>
    <col min="1" max="1" width="35.44140625" bestFit="1" customWidth="1"/>
    <col min="2" max="2" width="18.44140625" style="21" bestFit="1" customWidth="1"/>
    <col min="3" max="3" width="17.5546875" style="49" bestFit="1" customWidth="1"/>
    <col min="4" max="4" width="22.5546875" bestFit="1" customWidth="1"/>
    <col min="5" max="5" width="17.5546875" style="35" bestFit="1" customWidth="1"/>
    <col min="6" max="6" width="16" bestFit="1" customWidth="1"/>
    <col min="7" max="7" width="17.5546875" style="35" bestFit="1" customWidth="1"/>
    <col min="8" max="8" width="19.88671875" style="13" customWidth="1"/>
    <col min="9" max="9" width="17.5546875" style="66" bestFit="1" customWidth="1"/>
    <col min="10" max="10" width="19.88671875" style="29" customWidth="1"/>
    <col min="11" max="11" width="17.5546875" style="75" bestFit="1" customWidth="1"/>
  </cols>
  <sheetData>
    <row r="1" spans="1:11" s="84" customFormat="1" ht="45">
      <c r="A1" s="81" t="s">
        <v>21</v>
      </c>
      <c r="B1" s="82"/>
      <c r="C1" s="83"/>
      <c r="E1" s="81"/>
      <c r="G1" s="81"/>
      <c r="H1" s="34"/>
      <c r="I1" s="86"/>
      <c r="J1" s="87"/>
      <c r="K1" s="87"/>
    </row>
    <row r="2" spans="1:11" s="84" customFormat="1" ht="22.5" customHeight="1" thickBot="1">
      <c r="A2" s="81"/>
      <c r="B2" s="82"/>
      <c r="C2" s="83"/>
      <c r="E2" s="81"/>
      <c r="G2" s="81"/>
      <c r="H2" s="85"/>
      <c r="I2" s="86"/>
      <c r="J2" s="87"/>
      <c r="K2" s="87"/>
    </row>
    <row r="3" spans="1:11" s="88" customFormat="1" ht="21.6" thickBot="1">
      <c r="B3" s="495" t="s">
        <v>24</v>
      </c>
      <c r="C3" s="497"/>
      <c r="D3" s="486" t="s">
        <v>8</v>
      </c>
      <c r="E3" s="487"/>
      <c r="F3" s="487"/>
      <c r="G3" s="487"/>
      <c r="H3" s="487"/>
      <c r="I3" s="488"/>
      <c r="J3" s="493" t="s">
        <v>25</v>
      </c>
      <c r="K3" s="494"/>
    </row>
    <row r="4" spans="1:11" s="88" customFormat="1" ht="21.6" thickBot="1">
      <c r="B4" s="495" t="s">
        <v>7</v>
      </c>
      <c r="C4" s="496"/>
      <c r="D4" s="489" t="s">
        <v>9</v>
      </c>
      <c r="E4" s="490"/>
      <c r="F4" s="489" t="s">
        <v>10</v>
      </c>
      <c r="G4" s="490"/>
      <c r="H4" s="491" t="s">
        <v>11</v>
      </c>
      <c r="I4" s="492"/>
      <c r="J4" s="493" t="s">
        <v>12</v>
      </c>
      <c r="K4" s="494"/>
    </row>
    <row r="5" spans="1:11" ht="6" customHeight="1" thickBot="1">
      <c r="B5" s="22"/>
      <c r="C5" s="50"/>
      <c r="D5" s="5"/>
      <c r="E5" s="58"/>
      <c r="F5" s="5"/>
      <c r="G5" s="58"/>
      <c r="H5" s="14"/>
      <c r="I5" s="67"/>
      <c r="J5" s="30"/>
    </row>
    <row r="6" spans="1:11" ht="16.2" thickBot="1">
      <c r="A6" s="8" t="s">
        <v>4</v>
      </c>
      <c r="B6" s="23">
        <v>1568</v>
      </c>
      <c r="C6" s="51"/>
      <c r="D6" s="9">
        <v>1772</v>
      </c>
      <c r="E6" s="59"/>
      <c r="F6" s="9">
        <v>1724</v>
      </c>
      <c r="G6" s="59"/>
      <c r="H6" s="15">
        <v>1695</v>
      </c>
      <c r="I6" s="68"/>
      <c r="J6" s="45">
        <v>1568</v>
      </c>
      <c r="K6" s="76"/>
    </row>
    <row r="7" spans="1:11">
      <c r="A7" s="2"/>
      <c r="B7" s="42"/>
      <c r="C7" s="52" t="s">
        <v>22</v>
      </c>
      <c r="D7" s="43"/>
      <c r="E7" s="60" t="s">
        <v>22</v>
      </c>
      <c r="F7" s="43"/>
      <c r="G7" s="60" t="s">
        <v>22</v>
      </c>
      <c r="H7" s="44"/>
      <c r="I7" s="69" t="s">
        <v>22</v>
      </c>
      <c r="J7" s="31"/>
      <c r="K7" s="77" t="s">
        <v>22</v>
      </c>
    </row>
    <row r="8" spans="1:11" ht="5.25" customHeight="1" thickBot="1">
      <c r="A8" s="3"/>
      <c r="B8" s="24"/>
      <c r="C8" s="52"/>
      <c r="D8" s="6"/>
      <c r="E8" s="60"/>
      <c r="F8" s="6"/>
      <c r="G8" s="60"/>
      <c r="H8" s="16"/>
      <c r="I8" s="69"/>
      <c r="J8" s="31"/>
      <c r="K8" s="77"/>
    </row>
    <row r="9" spans="1:11" s="11" customFormat="1" ht="27" thickTop="1">
      <c r="A9" s="484" t="s">
        <v>5</v>
      </c>
      <c r="B9" s="25" t="s">
        <v>19</v>
      </c>
      <c r="C9" s="53"/>
      <c r="D9" s="10" t="s">
        <v>15</v>
      </c>
      <c r="E9" s="61"/>
      <c r="F9" s="10" t="s">
        <v>13</v>
      </c>
      <c r="G9" s="61"/>
      <c r="H9" s="17" t="s">
        <v>14</v>
      </c>
      <c r="I9" s="70"/>
      <c r="J9" s="46" t="s">
        <v>19</v>
      </c>
      <c r="K9" s="78"/>
    </row>
    <row r="10" spans="1:11" ht="16.2" thickBot="1">
      <c r="A10" s="485"/>
      <c r="B10" s="26">
        <v>25200</v>
      </c>
      <c r="C10" s="54">
        <f>B10/B6</f>
        <v>16.071428571428573</v>
      </c>
      <c r="D10" s="7">
        <v>19927.79</v>
      </c>
      <c r="E10" s="62">
        <f>D10/D6</f>
        <v>11.245931151241535</v>
      </c>
      <c r="F10" s="7">
        <v>24621.040000000001</v>
      </c>
      <c r="G10" s="62">
        <f>F10/F6</f>
        <v>14.281345707656612</v>
      </c>
      <c r="H10" s="18">
        <v>20638.02</v>
      </c>
      <c r="I10" s="71">
        <f>H10/H6</f>
        <v>12.175823008849557</v>
      </c>
      <c r="J10" s="47">
        <v>21000</v>
      </c>
      <c r="K10" s="79">
        <f>J10/J6</f>
        <v>13.392857142857142</v>
      </c>
    </row>
    <row r="11" spans="1:11" ht="27.6" thickTop="1">
      <c r="A11" s="484" t="s">
        <v>6</v>
      </c>
      <c r="B11" s="27" t="s">
        <v>20</v>
      </c>
      <c r="C11" s="55"/>
      <c r="D11" s="12" t="s">
        <v>16</v>
      </c>
      <c r="E11" s="63"/>
      <c r="F11" s="12" t="s">
        <v>17</v>
      </c>
      <c r="G11" s="63"/>
      <c r="H11" s="19" t="s">
        <v>18</v>
      </c>
      <c r="I11" s="72"/>
      <c r="J11" s="33" t="s">
        <v>20</v>
      </c>
      <c r="K11" s="78"/>
    </row>
    <row r="12" spans="1:11" ht="16.2" thickBot="1">
      <c r="A12" s="485"/>
      <c r="B12" s="26">
        <v>19450</v>
      </c>
      <c r="C12" s="54">
        <f>B12/B6</f>
        <v>12.404336734693878</v>
      </c>
      <c r="D12" s="7">
        <v>17570.740000000002</v>
      </c>
      <c r="E12" s="62">
        <f>D12/D6</f>
        <v>9.9157674943566594</v>
      </c>
      <c r="F12" s="7">
        <v>18023.060000000001</v>
      </c>
      <c r="G12" s="62">
        <f>F12/F6</f>
        <v>10.454211136890953</v>
      </c>
      <c r="H12" s="18">
        <v>18688.87</v>
      </c>
      <c r="I12" s="71">
        <f>H12/H6</f>
        <v>11.025882005899705</v>
      </c>
      <c r="J12" s="32">
        <v>18000</v>
      </c>
      <c r="K12" s="79">
        <f>J12/J6</f>
        <v>11.479591836734693</v>
      </c>
    </row>
    <row r="13" spans="1:11" ht="16.2" thickTop="1">
      <c r="B13" s="28"/>
      <c r="C13" s="56"/>
      <c r="D13" s="4"/>
      <c r="E13" s="64"/>
      <c r="F13" s="4"/>
      <c r="G13" s="64"/>
      <c r="H13" s="20"/>
      <c r="I13" s="73"/>
      <c r="J13" s="34"/>
      <c r="K13" s="80"/>
    </row>
    <row r="14" spans="1:11">
      <c r="A14" s="48" t="s">
        <v>23</v>
      </c>
      <c r="B14" s="28"/>
      <c r="C14" s="56"/>
      <c r="D14" s="4"/>
      <c r="E14" s="64"/>
      <c r="F14" s="4"/>
      <c r="G14" s="64"/>
      <c r="H14" s="20"/>
      <c r="I14" s="73"/>
      <c r="J14" s="34"/>
      <c r="K14" s="80"/>
    </row>
    <row r="15" spans="1:11" ht="16.2" thickBot="1">
      <c r="B15" s="28"/>
      <c r="C15" s="56"/>
      <c r="D15" s="4"/>
      <c r="E15" s="64"/>
      <c r="F15" s="4"/>
      <c r="G15" s="64"/>
      <c r="H15" s="20"/>
      <c r="I15" s="73"/>
      <c r="J15" s="34"/>
      <c r="K15" s="80"/>
    </row>
    <row r="16" spans="1:11" ht="16.2" thickBot="1">
      <c r="A16" s="40" t="s">
        <v>2</v>
      </c>
      <c r="B16" s="36"/>
      <c r="C16" s="57"/>
      <c r="D16" s="37">
        <v>23677.64</v>
      </c>
      <c r="E16" s="65">
        <f>D16/D6</f>
        <v>13.362099322799097</v>
      </c>
      <c r="F16" s="37">
        <v>22750.18</v>
      </c>
      <c r="G16" s="65">
        <f>F16/F6</f>
        <v>13.196160092807425</v>
      </c>
      <c r="H16" s="38">
        <v>20638.02</v>
      </c>
      <c r="I16" s="74">
        <f>H16/H6</f>
        <v>12.175823008849557</v>
      </c>
      <c r="J16" s="39"/>
      <c r="K16" s="76"/>
    </row>
    <row r="17" spans="1:11" ht="16.2" thickBot="1">
      <c r="A17" s="41"/>
      <c r="B17" s="28"/>
      <c r="C17" s="56"/>
      <c r="D17" s="4"/>
      <c r="E17" s="64"/>
      <c r="F17" s="4"/>
      <c r="G17" s="64"/>
      <c r="H17" s="20"/>
      <c r="I17" s="73"/>
      <c r="J17" s="34"/>
      <c r="K17" s="80"/>
    </row>
    <row r="18" spans="1:11" ht="16.2" thickBot="1">
      <c r="A18" s="40" t="s">
        <v>3</v>
      </c>
      <c r="B18" s="36"/>
      <c r="C18" s="57"/>
      <c r="D18" s="37">
        <v>19927.79</v>
      </c>
      <c r="E18" s="65">
        <f>D18/D6</f>
        <v>11.245931151241535</v>
      </c>
      <c r="F18" s="37">
        <v>20393.759999999998</v>
      </c>
      <c r="G18" s="65">
        <f>F18/F6</f>
        <v>11.829327146171693</v>
      </c>
      <c r="H18" s="38">
        <v>19262.150000000001</v>
      </c>
      <c r="I18" s="74">
        <f>H18/H6</f>
        <v>11.364100294985251</v>
      </c>
      <c r="J18" s="39"/>
      <c r="K18" s="76"/>
    </row>
    <row r="19" spans="1:11">
      <c r="B19" s="28"/>
      <c r="C19" s="56"/>
      <c r="D19" s="4"/>
      <c r="E19" s="64"/>
      <c r="F19" s="4"/>
      <c r="G19" s="64"/>
      <c r="H19" s="20"/>
      <c r="I19" s="73"/>
      <c r="J19" s="34"/>
    </row>
  </sheetData>
  <mergeCells count="10">
    <mergeCell ref="J4:K4"/>
    <mergeCell ref="B4:C4"/>
    <mergeCell ref="B3:C3"/>
    <mergeCell ref="J3:K3"/>
    <mergeCell ref="A9:A10"/>
    <mergeCell ref="A11:A12"/>
    <mergeCell ref="D3:I3"/>
    <mergeCell ref="D4:E4"/>
    <mergeCell ref="F4:G4"/>
    <mergeCell ref="H4:I4"/>
  </mergeCells>
  <pageMargins left="0.15748031496062992" right="0.23622047244094491" top="0.74803149606299213" bottom="0.74803149606299213" header="0.31496062992125984" footer="0.31496062992125984"/>
  <pageSetup paperSize="8" scale="95"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5">
    <pageSetUpPr fitToPage="1"/>
  </sheetPr>
  <dimension ref="A1:D21"/>
  <sheetViews>
    <sheetView workbookViewId="0">
      <selection activeCell="D20" sqref="A3:D20"/>
    </sheetView>
  </sheetViews>
  <sheetFormatPr defaultColWidth="11.5546875" defaultRowHeight="13.2"/>
  <cols>
    <col min="1" max="1" width="41.88671875" style="117" customWidth="1"/>
    <col min="2" max="2" width="13.44140625" bestFit="1" customWidth="1"/>
    <col min="3" max="3" width="14.44140625" bestFit="1" customWidth="1"/>
    <col min="4" max="4" width="14.109375" customWidth="1"/>
  </cols>
  <sheetData>
    <row r="1" spans="1:4" ht="32.4">
      <c r="A1" s="116" t="s">
        <v>36</v>
      </c>
    </row>
    <row r="2" spans="1:4" ht="13.8" thickBot="1"/>
    <row r="3" spans="1:4" ht="53.4" thickTop="1" thickBot="1">
      <c r="A3" s="107" t="s">
        <v>28</v>
      </c>
      <c r="B3" s="95">
        <v>2017</v>
      </c>
      <c r="C3" s="95">
        <v>2018</v>
      </c>
      <c r="D3" s="96" t="s">
        <v>0</v>
      </c>
    </row>
    <row r="4" spans="1:4" ht="14.4">
      <c r="A4" s="118" t="s">
        <v>30</v>
      </c>
      <c r="B4" s="97" t="e">
        <f>ROUND(#REF!/12*6.5,2)</f>
        <v>#REF!</v>
      </c>
      <c r="C4" s="97" t="e">
        <f>ROUND(#REF!/12*5.5,2)</f>
        <v>#REF!</v>
      </c>
      <c r="D4" s="98" t="e">
        <f>SUM(B4:C4)</f>
        <v>#REF!</v>
      </c>
    </row>
    <row r="5" spans="1:4" ht="14.4">
      <c r="A5" s="118"/>
      <c r="B5" s="97"/>
      <c r="C5" s="97"/>
      <c r="D5" s="98"/>
    </row>
    <row r="6" spans="1:4" ht="13.8">
      <c r="A6" s="119" t="s">
        <v>32</v>
      </c>
      <c r="B6" s="108" t="e">
        <f>ROUND(#REF!/12*6.5,2)</f>
        <v>#REF!</v>
      </c>
      <c r="C6" s="108" t="e">
        <f>ROUND(#REF!/12*5.5,2)</f>
        <v>#REF!</v>
      </c>
      <c r="D6" s="109" t="e">
        <f>SUM(B6:C6)</f>
        <v>#REF!</v>
      </c>
    </row>
    <row r="7" spans="1:4" ht="13.8">
      <c r="A7" s="119" t="s">
        <v>38</v>
      </c>
      <c r="B7" s="99" t="e">
        <f>#REF!</f>
        <v>#REF!</v>
      </c>
      <c r="C7" s="99" t="e">
        <f>#REF!</f>
        <v>#REF!</v>
      </c>
      <c r="D7" s="100" t="e">
        <f>#REF!</f>
        <v>#REF!</v>
      </c>
    </row>
    <row r="8" spans="1:4" ht="28.8">
      <c r="A8" s="118" t="s">
        <v>39</v>
      </c>
      <c r="B8" s="97" t="e">
        <f>B6*B7</f>
        <v>#REF!</v>
      </c>
      <c r="C8" s="97" t="e">
        <f>C6*C7</f>
        <v>#REF!</v>
      </c>
      <c r="D8" s="98" t="e">
        <f>SUM(B8:C8)</f>
        <v>#REF!</v>
      </c>
    </row>
    <row r="9" spans="1:4" ht="14.4">
      <c r="A9" s="118"/>
      <c r="B9" s="97"/>
      <c r="C9" s="97"/>
      <c r="D9" s="98"/>
    </row>
    <row r="10" spans="1:4" ht="27.6">
      <c r="A10" s="119" t="s">
        <v>34</v>
      </c>
      <c r="B10" s="108" t="e">
        <f>#REF!/12*6.5</f>
        <v>#REF!</v>
      </c>
      <c r="C10" s="108" t="e">
        <f>#REF!/12*5.5</f>
        <v>#REF!</v>
      </c>
      <c r="D10" s="109" t="e">
        <f>SUM(B10:C10)</f>
        <v>#REF!</v>
      </c>
    </row>
    <row r="11" spans="1:4" ht="27.6">
      <c r="A11" s="119" t="s">
        <v>33</v>
      </c>
      <c r="B11" s="99" t="e">
        <f>#REF!</f>
        <v>#REF!</v>
      </c>
      <c r="C11" s="99" t="e">
        <f>#REF!</f>
        <v>#REF!</v>
      </c>
      <c r="D11" s="100" t="e">
        <f>#REF!</f>
        <v>#REF!</v>
      </c>
    </row>
    <row r="12" spans="1:4" ht="28.8">
      <c r="A12" s="118" t="s">
        <v>35</v>
      </c>
      <c r="B12" s="97" t="e">
        <f>B10*B11</f>
        <v>#REF!</v>
      </c>
      <c r="C12" s="97" t="e">
        <f>C10*C11</f>
        <v>#REF!</v>
      </c>
      <c r="D12" s="98" t="e">
        <f>SUM(B12:C12)</f>
        <v>#REF!</v>
      </c>
    </row>
    <row r="13" spans="1:4" ht="14.4">
      <c r="A13" s="118"/>
      <c r="B13" s="97"/>
      <c r="C13" s="97"/>
      <c r="D13" s="98"/>
    </row>
    <row r="14" spans="1:4" ht="13.8">
      <c r="A14" s="119" t="s">
        <v>31</v>
      </c>
      <c r="B14" s="108" t="e">
        <f>ROUND(#REF!/12*6.5,2)</f>
        <v>#REF!</v>
      </c>
      <c r="C14" s="108" t="e">
        <f>#REF!/12*5.5</f>
        <v>#REF!</v>
      </c>
      <c r="D14" s="109" t="e">
        <f>SUM(B14:C14)</f>
        <v>#REF!</v>
      </c>
    </row>
    <row r="15" spans="1:4" ht="13.8">
      <c r="A15" s="119" t="s">
        <v>37</v>
      </c>
      <c r="B15" s="99" t="e">
        <f>#REF!</f>
        <v>#REF!</v>
      </c>
      <c r="C15" s="99" t="e">
        <f>#REF!</f>
        <v>#REF!</v>
      </c>
      <c r="D15" s="100" t="e">
        <f>#REF!</f>
        <v>#REF!</v>
      </c>
    </row>
    <row r="16" spans="1:4" s="115" customFormat="1" ht="14.4">
      <c r="A16" s="120" t="s">
        <v>41</v>
      </c>
      <c r="B16" s="113">
        <v>-7.0000000000000007E-2</v>
      </c>
      <c r="C16" s="113">
        <v>-0.33</v>
      </c>
      <c r="D16" s="114">
        <f>SUM(B16:C16)</f>
        <v>-0.4</v>
      </c>
    </row>
    <row r="17" spans="1:4" ht="28.8">
      <c r="A17" s="118" t="s">
        <v>40</v>
      </c>
      <c r="B17" s="97" t="e">
        <f>B14*B15+B16</f>
        <v>#REF!</v>
      </c>
      <c r="C17" s="97" t="e">
        <f>C14*C15+C16</f>
        <v>#REF!</v>
      </c>
      <c r="D17" s="98" t="e">
        <f>SUM(B17:C17)</f>
        <v>#REF!</v>
      </c>
    </row>
    <row r="18" spans="1:4" ht="14.4">
      <c r="A18" s="121" t="s">
        <v>29</v>
      </c>
      <c r="B18" s="101" t="e">
        <f>B4+B8+B12+B17</f>
        <v>#REF!</v>
      </c>
      <c r="C18" s="101" t="e">
        <f>C4+C8+C12+C17</f>
        <v>#REF!</v>
      </c>
      <c r="D18" s="102" t="e">
        <f>(D4+D8+D12+D17)</f>
        <v>#REF!</v>
      </c>
    </row>
    <row r="19" spans="1:4" ht="14.4">
      <c r="A19" s="118" t="s">
        <v>26</v>
      </c>
      <c r="B19" s="103" t="e">
        <f>B18*10%</f>
        <v>#REF!</v>
      </c>
      <c r="C19" s="103" t="e">
        <f>C18*10%</f>
        <v>#REF!</v>
      </c>
      <c r="D19" s="104" t="e">
        <f>D18*10%</f>
        <v>#REF!</v>
      </c>
    </row>
    <row r="20" spans="1:4" ht="15" thickBot="1">
      <c r="A20" s="122" t="s">
        <v>27</v>
      </c>
      <c r="B20" s="105" t="e">
        <f>SUM(B18:B19)</f>
        <v>#REF!</v>
      </c>
      <c r="C20" s="105" t="e">
        <f>SUM(C18:C19)</f>
        <v>#REF!</v>
      </c>
      <c r="D20" s="106" t="e">
        <f>SUM(D18:D19)</f>
        <v>#REF!</v>
      </c>
    </row>
    <row r="21" spans="1:4" ht="13.8" thickTop="1"/>
  </sheetData>
  <pageMargins left="0.15748031496062992" right="0.70866141732283472" top="0.74803149606299213" bottom="0.74803149606299213" header="0.31496062992125984" footer="0.31496062992125984"/>
  <pageSetup paperSize="9" orientation="portrait" r:id="rId1"/>
  <headerFooter>
    <oddFooter>&amp;L&amp;F&amp;R&amp;A</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7">
    <pageSetUpPr fitToPage="1"/>
  </sheetPr>
  <dimension ref="A1:Q32"/>
  <sheetViews>
    <sheetView topLeftCell="A4" workbookViewId="0">
      <selection activeCell="H13" sqref="H13"/>
    </sheetView>
  </sheetViews>
  <sheetFormatPr defaultColWidth="8.88671875" defaultRowHeight="13.2"/>
  <cols>
    <col min="1" max="1" width="10.44140625" customWidth="1"/>
    <col min="2" max="2" width="9" bestFit="1" customWidth="1"/>
    <col min="3" max="3" width="10.88671875" bestFit="1" customWidth="1"/>
    <col min="4" max="4" width="33.88671875" customWidth="1"/>
    <col min="5" max="5" width="5.109375" customWidth="1"/>
    <col min="6" max="6" width="12.5546875" customWidth="1"/>
    <col min="7" max="7" width="13.109375" customWidth="1"/>
    <col min="8" max="8" width="13.44140625" bestFit="1" customWidth="1"/>
    <col min="9" max="10" width="12.109375" customWidth="1"/>
    <col min="11" max="12" width="11.44140625" bestFit="1" customWidth="1"/>
    <col min="13" max="13" width="13.44140625" bestFit="1" customWidth="1"/>
    <col min="14" max="14" width="15.5546875" customWidth="1"/>
  </cols>
  <sheetData>
    <row r="1" spans="1:17" s="92" customFormat="1" ht="17.399999999999999">
      <c r="A1" s="260" t="s">
        <v>147</v>
      </c>
      <c r="B1" s="89"/>
      <c r="C1" s="90"/>
      <c r="D1" s="91"/>
      <c r="E1" s="91"/>
      <c r="F1" s="254"/>
      <c r="G1" s="255"/>
      <c r="H1" s="259"/>
      <c r="I1" s="259"/>
      <c r="J1" s="259"/>
      <c r="O1" s="93"/>
      <c r="P1" s="93"/>
      <c r="Q1" s="93"/>
    </row>
    <row r="3" spans="1:17">
      <c r="A3" s="2" t="s">
        <v>160</v>
      </c>
      <c r="B3" s="2"/>
      <c r="C3" s="2"/>
    </row>
    <row r="4" spans="1:17">
      <c r="A4" s="2"/>
      <c r="B4" s="2"/>
      <c r="C4" s="2"/>
    </row>
    <row r="5" spans="1:17" ht="13.8">
      <c r="A5" s="498" t="s">
        <v>83</v>
      </c>
      <c r="B5" s="498"/>
      <c r="C5" s="498"/>
      <c r="D5" s="498"/>
      <c r="E5" s="498"/>
      <c r="F5" s="498"/>
      <c r="G5" s="498"/>
      <c r="H5" s="498"/>
      <c r="O5" s="110"/>
      <c r="P5" s="197"/>
    </row>
    <row r="6" spans="1:17" ht="14.4" thickBot="1">
      <c r="A6" s="198"/>
      <c r="B6" s="198"/>
      <c r="C6" s="198"/>
      <c r="E6" s="41" t="s">
        <v>122</v>
      </c>
      <c r="F6" s="303">
        <v>1</v>
      </c>
      <c r="G6" s="304">
        <v>11</v>
      </c>
      <c r="H6" s="303"/>
      <c r="I6" s="305">
        <v>1</v>
      </c>
      <c r="J6" s="305">
        <v>12</v>
      </c>
      <c r="K6" s="305">
        <v>12</v>
      </c>
      <c r="L6" s="305">
        <v>11</v>
      </c>
      <c r="M6" s="199"/>
      <c r="N6" s="137" t="s">
        <v>84</v>
      </c>
      <c r="O6" s="199"/>
      <c r="P6" s="197"/>
    </row>
    <row r="7" spans="1:17" ht="21" thickBot="1">
      <c r="A7" s="198"/>
      <c r="B7" s="198"/>
      <c r="C7" s="198"/>
      <c r="D7" s="200"/>
      <c r="E7" s="201"/>
      <c r="F7" s="201">
        <v>2024</v>
      </c>
      <c r="G7" s="201">
        <v>2025</v>
      </c>
      <c r="H7" s="202" t="s">
        <v>85</v>
      </c>
      <c r="I7" s="201" t="s">
        <v>148</v>
      </c>
      <c r="J7" s="201" t="s">
        <v>143</v>
      </c>
      <c r="K7" s="201" t="s">
        <v>144</v>
      </c>
      <c r="L7" s="201" t="s">
        <v>145</v>
      </c>
      <c r="M7" s="201" t="s">
        <v>49</v>
      </c>
      <c r="N7" s="202" t="s">
        <v>85</v>
      </c>
      <c r="O7" s="110"/>
      <c r="P7" s="197"/>
    </row>
    <row r="8" spans="1:17" ht="14.4" thickBot="1">
      <c r="A8" s="198"/>
      <c r="B8" s="198"/>
      <c r="C8" s="198"/>
      <c r="D8" s="203" t="s">
        <v>86</v>
      </c>
      <c r="E8" s="203"/>
      <c r="F8" s="203"/>
      <c r="G8" s="203"/>
      <c r="H8" s="204"/>
      <c r="I8" s="203"/>
      <c r="J8" s="203"/>
      <c r="K8" s="203"/>
      <c r="L8" s="203"/>
      <c r="M8" s="203"/>
      <c r="N8" s="205"/>
      <c r="O8" s="110"/>
      <c r="P8" s="197"/>
    </row>
    <row r="9" spans="1:17" ht="31.2" thickBot="1">
      <c r="A9" s="206"/>
      <c r="B9" s="206"/>
      <c r="C9" s="206"/>
      <c r="D9" s="207" t="s">
        <v>117</v>
      </c>
      <c r="E9" s="207"/>
      <c r="F9" s="208" t="e">
        <f>#REF!/12*F6</f>
        <v>#REF!</v>
      </c>
      <c r="G9" s="208" t="e">
        <f>#REF!/12*G6+0.005</f>
        <v>#REF!</v>
      </c>
      <c r="H9" s="209" t="e">
        <f>SUM(F9:G9)</f>
        <v>#REF!</v>
      </c>
      <c r="I9" s="208" t="e">
        <f>#REF!/12*I6</f>
        <v>#REF!</v>
      </c>
      <c r="J9" s="208" t="e">
        <f>#REF!/12*J6</f>
        <v>#REF!</v>
      </c>
      <c r="K9" s="208" t="e">
        <f>#REF!/12*K6</f>
        <v>#REF!</v>
      </c>
      <c r="L9" s="208" t="e">
        <f>#REF!/12*L6+0.005</f>
        <v>#REF!</v>
      </c>
      <c r="M9" s="209" t="e">
        <f>SUM(I9:L9)+0.005</f>
        <v>#REF!</v>
      </c>
      <c r="N9" s="209" t="e">
        <f>H9+M9</f>
        <v>#REF!</v>
      </c>
      <c r="O9" s="210"/>
      <c r="P9" s="197"/>
    </row>
    <row r="10" spans="1:17" ht="15" thickBot="1">
      <c r="A10" s="198"/>
      <c r="B10" s="198"/>
      <c r="C10" s="198"/>
      <c r="D10" s="211" t="s">
        <v>87</v>
      </c>
      <c r="E10" s="212"/>
      <c r="F10" s="213" t="e">
        <f t="shared" ref="F10:N10" si="0">SUM(F9:F9)</f>
        <v>#REF!</v>
      </c>
      <c r="G10" s="213" t="e">
        <f t="shared" si="0"/>
        <v>#REF!</v>
      </c>
      <c r="H10" s="214" t="e">
        <f t="shared" si="0"/>
        <v>#REF!</v>
      </c>
      <c r="I10" s="213" t="e">
        <f>SUM(I9:I9)</f>
        <v>#REF!</v>
      </c>
      <c r="J10" s="213" t="e">
        <f>SUM(J9:J9)</f>
        <v>#REF!</v>
      </c>
      <c r="K10" s="213" t="e">
        <f>SUM(K9:K9)</f>
        <v>#REF!</v>
      </c>
      <c r="L10" s="213" t="e">
        <f>SUM(L9:L9)</f>
        <v>#REF!</v>
      </c>
      <c r="M10" s="214" t="e">
        <f>SUM(M9:M9)</f>
        <v>#REF!</v>
      </c>
      <c r="N10" s="215" t="e">
        <f t="shared" si="0"/>
        <v>#REF!</v>
      </c>
      <c r="O10" s="216"/>
      <c r="P10" s="217"/>
    </row>
    <row r="11" spans="1:17" ht="14.4">
      <c r="A11" s="198"/>
      <c r="B11" s="198"/>
      <c r="C11" s="198"/>
      <c r="D11" s="212"/>
      <c r="E11" s="212"/>
      <c r="F11" s="212"/>
      <c r="G11" s="212"/>
      <c r="H11" s="218"/>
      <c r="I11" s="212"/>
      <c r="J11" s="212"/>
      <c r="K11" s="212"/>
      <c r="L11" s="212"/>
      <c r="M11" s="218"/>
      <c r="N11" s="219"/>
      <c r="O11" s="216"/>
      <c r="P11" s="217"/>
    </row>
    <row r="12" spans="1:17" s="94" customFormat="1" ht="21" thickBot="1">
      <c r="A12" s="308" t="s">
        <v>88</v>
      </c>
      <c r="B12" s="308" t="s">
        <v>96</v>
      </c>
      <c r="C12" s="309" t="s">
        <v>123</v>
      </c>
      <c r="D12" s="296" t="s">
        <v>118</v>
      </c>
      <c r="E12" s="220"/>
      <c r="F12" s="220"/>
      <c r="G12" s="220"/>
      <c r="H12" s="221"/>
      <c r="I12" s="220"/>
      <c r="J12" s="220"/>
      <c r="K12" s="220"/>
      <c r="L12" s="220"/>
      <c r="M12" s="221"/>
      <c r="N12" s="222"/>
      <c r="O12" s="243"/>
      <c r="P12" s="244"/>
    </row>
    <row r="13" spans="1:17" ht="21" thickBot="1">
      <c r="A13" s="261" t="e">
        <f>#REF!</f>
        <v>#REF!</v>
      </c>
      <c r="B13" s="258" t="s">
        <v>114</v>
      </c>
      <c r="C13" s="262" t="e">
        <f>#REF!</f>
        <v>#REF!</v>
      </c>
      <c r="D13" s="224" t="s">
        <v>120</v>
      </c>
      <c r="E13" s="224"/>
      <c r="F13" s="208" t="e">
        <f>$A$13*$C$13/12*F6</f>
        <v>#REF!</v>
      </c>
      <c r="G13" s="208" t="e">
        <f>$A$13*$C$13/12*G6</f>
        <v>#REF!</v>
      </c>
      <c r="H13" s="223" t="e">
        <f>SUM(F13:G13)</f>
        <v>#REF!</v>
      </c>
      <c r="I13" s="208" t="e">
        <f>$A$13*$C$13/12*I6</f>
        <v>#REF!</v>
      </c>
      <c r="J13" s="208" t="e">
        <f>$A$13*$C$13/12*J6</f>
        <v>#REF!</v>
      </c>
      <c r="K13" s="208" t="e">
        <f>$A$13*$C$13/12*K6</f>
        <v>#REF!</v>
      </c>
      <c r="L13" s="208" t="e">
        <f>$A$13*$C$13/12*L6</f>
        <v>#REF!</v>
      </c>
      <c r="M13" s="223" t="e">
        <f>SUM(I13:L13)</f>
        <v>#REF!</v>
      </c>
      <c r="N13" s="223" t="e">
        <f>H13+M13</f>
        <v>#REF!</v>
      </c>
      <c r="O13" s="216"/>
      <c r="P13" s="217"/>
    </row>
    <row r="14" spans="1:17" ht="14.4" thickBot="1">
      <c r="A14" s="256" t="e">
        <f>#REF!</f>
        <v>#REF!</v>
      </c>
      <c r="B14" s="258" t="s">
        <v>115</v>
      </c>
      <c r="C14" s="257">
        <v>100</v>
      </c>
      <c r="D14" s="224" t="s">
        <v>116</v>
      </c>
      <c r="E14" s="224"/>
      <c r="F14" s="208" t="e">
        <f>$A$14*$C$14/12*F6</f>
        <v>#REF!</v>
      </c>
      <c r="G14" s="208" t="e">
        <f>$A$14*$C$14/12*G6</f>
        <v>#REF!</v>
      </c>
      <c r="H14" s="225" t="e">
        <f>SUM(F14:G14)</f>
        <v>#REF!</v>
      </c>
      <c r="I14" s="208" t="e">
        <f>$A$14*$C$14/12*I6</f>
        <v>#REF!</v>
      </c>
      <c r="J14" s="208" t="e">
        <f>$A$14*$C$14/12*J6</f>
        <v>#REF!</v>
      </c>
      <c r="K14" s="208" t="e">
        <f>$A$14*$C$14/12*K6</f>
        <v>#REF!</v>
      </c>
      <c r="L14" s="208" t="e">
        <f>$A$14*$C$14/12*L6</f>
        <v>#REF!</v>
      </c>
      <c r="M14" s="225" t="e">
        <f>SUM(I14:L14)</f>
        <v>#REF!</v>
      </c>
      <c r="N14" s="225" t="e">
        <f>H14+M14</f>
        <v>#REF!</v>
      </c>
      <c r="O14" s="216"/>
      <c r="P14" s="217"/>
    </row>
    <row r="15" spans="1:17" ht="14.4" thickBot="1">
      <c r="A15" s="256" t="e">
        <f>#REF!</f>
        <v>#REF!</v>
      </c>
      <c r="B15" s="258" t="s">
        <v>119</v>
      </c>
      <c r="C15" s="257" t="e">
        <f>#REF!</f>
        <v>#REF!</v>
      </c>
      <c r="D15" s="224" t="s">
        <v>97</v>
      </c>
      <c r="E15" s="224"/>
      <c r="F15" s="208" t="e">
        <f>$A$15*$C$15/12*F6</f>
        <v>#REF!</v>
      </c>
      <c r="G15" s="208" t="e">
        <f>$A$15*$C$15/12*G6</f>
        <v>#REF!</v>
      </c>
      <c r="H15" s="225" t="e">
        <f>SUM(F15:G15)</f>
        <v>#REF!</v>
      </c>
      <c r="I15" s="208" t="e">
        <f>$A$15*$C$15/12*I6</f>
        <v>#REF!</v>
      </c>
      <c r="J15" s="208" t="e">
        <f>$A$15*$C$15/12*J6</f>
        <v>#REF!</v>
      </c>
      <c r="K15" s="208" t="e">
        <f>$A$15*$C$15/12*K6</f>
        <v>#REF!</v>
      </c>
      <c r="L15" s="208" t="e">
        <f>$A$15*$C$15/12*L6</f>
        <v>#REF!</v>
      </c>
      <c r="M15" s="225" t="e">
        <f>SUM(I15:L15)</f>
        <v>#REF!</v>
      </c>
      <c r="N15" s="225" t="e">
        <f>H15+M15</f>
        <v>#REF!</v>
      </c>
      <c r="O15" s="216"/>
      <c r="P15" s="217"/>
    </row>
    <row r="16" spans="1:17" ht="15" thickBot="1">
      <c r="A16" s="198"/>
      <c r="B16" s="198"/>
      <c r="C16" s="198"/>
      <c r="D16" s="211" t="s">
        <v>90</v>
      </c>
      <c r="E16" s="226"/>
      <c r="F16" s="227" t="e">
        <f>SUM(F13:F15)</f>
        <v>#REF!</v>
      </c>
      <c r="G16" s="227" t="e">
        <f>SUM(G13:G15)-0.005</f>
        <v>#REF!</v>
      </c>
      <c r="H16" s="228" t="e">
        <f t="shared" ref="H16:N16" si="1">SUM(H13:H15)</f>
        <v>#REF!</v>
      </c>
      <c r="I16" s="227" t="e">
        <f t="shared" si="1"/>
        <v>#REF!</v>
      </c>
      <c r="J16" s="227" t="e">
        <f t="shared" si="1"/>
        <v>#REF!</v>
      </c>
      <c r="K16" s="227" t="e">
        <f t="shared" si="1"/>
        <v>#REF!</v>
      </c>
      <c r="L16" s="227" t="e">
        <f t="shared" si="1"/>
        <v>#REF!</v>
      </c>
      <c r="M16" s="228" t="e">
        <f t="shared" si="1"/>
        <v>#REF!</v>
      </c>
      <c r="N16" s="228" t="e">
        <f t="shared" si="1"/>
        <v>#REF!</v>
      </c>
      <c r="O16" s="216"/>
      <c r="P16" s="217"/>
    </row>
    <row r="17" spans="1:16" ht="15" thickBot="1">
      <c r="A17" s="198"/>
      <c r="B17" s="198"/>
      <c r="C17" s="198"/>
      <c r="D17" s="226"/>
      <c r="E17" s="226"/>
      <c r="F17" s="226"/>
      <c r="G17" s="226"/>
      <c r="H17" s="229"/>
      <c r="I17" s="226"/>
      <c r="J17" s="226"/>
      <c r="K17" s="226"/>
      <c r="L17" s="226"/>
      <c r="M17" s="229"/>
      <c r="N17" s="229"/>
      <c r="O17" s="230"/>
      <c r="P17" s="217"/>
    </row>
    <row r="18" spans="1:16" ht="21" thickBot="1">
      <c r="A18" s="198"/>
      <c r="B18" s="198"/>
      <c r="C18" s="198"/>
      <c r="D18" s="313" t="s">
        <v>111</v>
      </c>
      <c r="E18" s="314"/>
      <c r="F18" s="289" t="e">
        <f>#REF!/12*F6</f>
        <v>#REF!</v>
      </c>
      <c r="G18" s="289" t="e">
        <f>#REF!/12*G6</f>
        <v>#REF!</v>
      </c>
      <c r="H18" s="290" t="e">
        <f>SUM(F18:G18)</f>
        <v>#REF!</v>
      </c>
      <c r="I18" s="289" t="e">
        <f>#REF!/12*I6</f>
        <v>#REF!</v>
      </c>
      <c r="J18" s="289" t="e">
        <f>#REF!/12*J6</f>
        <v>#REF!</v>
      </c>
      <c r="K18" s="289" t="e">
        <f>#REF!/12*K6</f>
        <v>#REF!</v>
      </c>
      <c r="L18" s="289" t="e">
        <f>#REF!/12*L6</f>
        <v>#REF!</v>
      </c>
      <c r="M18" s="290" t="e">
        <f>SUM(I18:L18)+0.01</f>
        <v>#REF!</v>
      </c>
      <c r="N18" s="290" t="e">
        <f>H18+M18</f>
        <v>#REF!</v>
      </c>
      <c r="O18" s="230"/>
      <c r="P18" s="217"/>
    </row>
    <row r="19" spans="1:16" ht="41.4" thickBot="1">
      <c r="A19" s="198"/>
      <c r="B19" s="198"/>
      <c r="C19" s="198"/>
      <c r="D19" s="315" t="s">
        <v>146</v>
      </c>
      <c r="E19" s="314"/>
      <c r="F19" s="316" t="e">
        <f>#REF!/12*F6</f>
        <v>#REF!</v>
      </c>
      <c r="G19" s="316" t="e">
        <f>#REF!/12*G6+0.003</f>
        <v>#REF!</v>
      </c>
      <c r="H19" s="317" t="e">
        <f>SUM(F19:G19)+0.001</f>
        <v>#REF!</v>
      </c>
      <c r="I19" s="316" t="e">
        <f>#REF!/12*I6</f>
        <v>#REF!</v>
      </c>
      <c r="J19" s="316" t="e">
        <f>#REF!/12*J6</f>
        <v>#REF!</v>
      </c>
      <c r="K19" s="316" t="e">
        <f>#REF!/12*K6</f>
        <v>#REF!</v>
      </c>
      <c r="L19" s="316" t="e">
        <f>#REF!/12*L6+0.003</f>
        <v>#REF!</v>
      </c>
      <c r="M19" s="317" t="e">
        <f>SUM(I19:L19)+0.001</f>
        <v>#REF!</v>
      </c>
      <c r="N19" s="317" t="e">
        <f>H19+M19</f>
        <v>#REF!</v>
      </c>
      <c r="O19" s="230"/>
      <c r="P19" s="217"/>
    </row>
    <row r="20" spans="1:16" ht="15" thickBot="1">
      <c r="A20" s="198"/>
      <c r="B20" s="198"/>
      <c r="C20" s="198"/>
      <c r="D20" s="226"/>
      <c r="E20" s="226"/>
      <c r="F20" s="226"/>
      <c r="G20" s="226"/>
      <c r="H20" s="229"/>
      <c r="I20" s="226"/>
      <c r="J20" s="226"/>
      <c r="K20" s="226"/>
      <c r="L20" s="226"/>
      <c r="M20" s="229"/>
      <c r="N20" s="229"/>
      <c r="O20" s="230"/>
      <c r="P20" s="217"/>
    </row>
    <row r="21" spans="1:16" ht="14.4" thickBot="1">
      <c r="A21" s="198"/>
      <c r="B21" s="198"/>
      <c r="C21" s="198"/>
      <c r="D21" s="231" t="s">
        <v>91</v>
      </c>
      <c r="E21" s="231"/>
      <c r="F21" s="232" t="e">
        <f>SUM(F16,F10,F18,F19)-0.005</f>
        <v>#REF!</v>
      </c>
      <c r="G21" s="232" t="e">
        <f>SUM(G16,G10,G18,G19)+0.01</f>
        <v>#REF!</v>
      </c>
      <c r="H21" s="233" t="e">
        <f>SUM(H16,H10,H18,H19)</f>
        <v>#REF!</v>
      </c>
      <c r="I21" s="232" t="e">
        <f>SUM(I16,I10,I18,I19)</f>
        <v>#REF!</v>
      </c>
      <c r="J21" s="232" t="e">
        <f>SUM(J16,J10,J18,J19)</f>
        <v>#REF!</v>
      </c>
      <c r="K21" s="232" t="e">
        <f>SUM(K16,K10,K18,K19)</f>
        <v>#REF!</v>
      </c>
      <c r="L21" s="232" t="e">
        <f>SUM(L16,L10,L18,L19)+0.01</f>
        <v>#REF!</v>
      </c>
      <c r="M21" s="233" t="e">
        <f>SUM(M16,M10,M18,M19)+0.005</f>
        <v>#REF!</v>
      </c>
      <c r="N21" s="233" t="e">
        <f>SUM(N16,N10,N18,N19)+0.008</f>
        <v>#REF!</v>
      </c>
      <c r="O21" s="230"/>
      <c r="P21" s="217"/>
    </row>
    <row r="22" spans="1:16" ht="14.4" thickBot="1">
      <c r="A22" s="198"/>
      <c r="B22" s="198"/>
      <c r="C22" s="198"/>
      <c r="D22" s="234" t="s">
        <v>1</v>
      </c>
      <c r="E22" s="235">
        <v>0.1</v>
      </c>
      <c r="F22" s="236" t="e">
        <f>ROUND(F21*E22,2)</f>
        <v>#REF!</v>
      </c>
      <c r="G22" s="236" t="e">
        <f>G21*E22</f>
        <v>#REF!</v>
      </c>
      <c r="H22" s="237" t="e">
        <f>SUM(F22:G22)</f>
        <v>#REF!</v>
      </c>
      <c r="I22" s="236" t="e">
        <f>ROUND(I21*$E$22,2)</f>
        <v>#REF!</v>
      </c>
      <c r="J22" s="236" t="e">
        <f>ROUND(J21*$E$22,2)</f>
        <v>#REF!</v>
      </c>
      <c r="K22" s="236" t="e">
        <f>ROUND(K21*$E$22,2)</f>
        <v>#REF!</v>
      </c>
      <c r="L22" s="236" t="e">
        <f>ROUND(L21*$E$22,2)</f>
        <v>#REF!</v>
      </c>
      <c r="M22" s="237" t="e">
        <f>SUM(I22:L22)</f>
        <v>#REF!</v>
      </c>
      <c r="N22" s="237" t="e">
        <f>H22+M22</f>
        <v>#REF!</v>
      </c>
      <c r="O22" s="110"/>
      <c r="P22" s="197"/>
    </row>
    <row r="23" spans="1:16" ht="14.4" thickBot="1">
      <c r="A23" s="198"/>
      <c r="B23" s="198"/>
      <c r="C23" s="198"/>
      <c r="D23" s="238" t="s">
        <v>92</v>
      </c>
      <c r="E23" s="238"/>
      <c r="F23" s="239" t="e">
        <f t="shared" ref="F23:K23" si="2">SUM(F21:F22)</f>
        <v>#REF!</v>
      </c>
      <c r="G23" s="239" t="e">
        <f t="shared" si="2"/>
        <v>#REF!</v>
      </c>
      <c r="H23" s="240" t="e">
        <f t="shared" si="2"/>
        <v>#REF!</v>
      </c>
      <c r="I23" s="239" t="e">
        <f t="shared" si="2"/>
        <v>#REF!</v>
      </c>
      <c r="J23" s="239" t="e">
        <f t="shared" si="2"/>
        <v>#REF!</v>
      </c>
      <c r="K23" s="239" t="e">
        <f t="shared" si="2"/>
        <v>#REF!</v>
      </c>
      <c r="L23" s="239" t="e">
        <f>SUM(L21:L22)-0.005</f>
        <v>#REF!</v>
      </c>
      <c r="M23" s="240" t="e">
        <f>SUM(M21:M22)-0.005</f>
        <v>#REF!</v>
      </c>
      <c r="N23" s="241" t="e">
        <f>SUM(N21:N22)-0.005</f>
        <v>#REF!</v>
      </c>
      <c r="O23" s="110"/>
      <c r="P23" s="197"/>
    </row>
    <row r="24" spans="1:16" ht="13.8">
      <c r="A24" s="198"/>
      <c r="B24" s="198"/>
      <c r="C24" s="198"/>
      <c r="H24" s="3"/>
      <c r="M24" s="2"/>
      <c r="N24" s="242"/>
      <c r="O24" s="110"/>
      <c r="P24" s="197"/>
    </row>
    <row r="25" spans="1:16" ht="13.8">
      <c r="G25" s="4"/>
      <c r="H25" s="307"/>
      <c r="M25" s="306"/>
      <c r="N25" s="242"/>
      <c r="O25" s="110"/>
      <c r="P25" s="197"/>
    </row>
    <row r="26" spans="1:16">
      <c r="A26" s="160"/>
      <c r="B26" s="94"/>
      <c r="C26" s="152"/>
      <c r="D26" s="111" t="s">
        <v>93</v>
      </c>
      <c r="E26" s="94"/>
      <c r="F26" s="94"/>
      <c r="G26" s="94"/>
      <c r="H26" s="94"/>
      <c r="I26" s="94"/>
      <c r="J26" s="94"/>
      <c r="K26" s="94"/>
      <c r="L26" s="94"/>
      <c r="M26" s="94"/>
      <c r="N26" s="94"/>
      <c r="O26" s="94"/>
      <c r="P26" s="94"/>
    </row>
    <row r="27" spans="1:16" ht="13.8">
      <c r="A27" s="110"/>
      <c r="B27" s="206"/>
      <c r="C27" s="245"/>
      <c r="D27" s="246"/>
      <c r="E27" s="247"/>
      <c r="F27" s="247"/>
      <c r="G27" s="247"/>
      <c r="H27" s="247"/>
      <c r="I27" s="219"/>
      <c r="J27" s="247"/>
      <c r="K27" s="247"/>
      <c r="L27" s="247"/>
      <c r="M27" s="248"/>
      <c r="N27" s="249"/>
      <c r="O27" s="499" t="s">
        <v>94</v>
      </c>
      <c r="P27" s="499"/>
    </row>
    <row r="28" spans="1:16" ht="21" thickBot="1">
      <c r="A28" s="308" t="s">
        <v>88</v>
      </c>
      <c r="B28" s="308" t="s">
        <v>96</v>
      </c>
      <c r="C28" s="309" t="s">
        <v>123</v>
      </c>
      <c r="D28" s="203" t="s">
        <v>89</v>
      </c>
      <c r="E28" s="220"/>
      <c r="F28" s="220"/>
      <c r="G28" s="220"/>
      <c r="H28" s="221"/>
      <c r="I28" s="220"/>
      <c r="J28" s="220"/>
      <c r="K28" s="220"/>
      <c r="L28" s="220"/>
      <c r="M28" s="220"/>
      <c r="N28" s="250"/>
      <c r="O28" s="251" t="s">
        <v>95</v>
      </c>
      <c r="P28" s="251"/>
    </row>
    <row r="29" spans="1:16" ht="21" thickBot="1">
      <c r="A29" s="261" t="e">
        <f>#REF!</f>
        <v>#REF!</v>
      </c>
      <c r="B29" s="258" t="s">
        <v>114</v>
      </c>
      <c r="C29" s="262" t="e">
        <f>C13*20%</f>
        <v>#REF!</v>
      </c>
      <c r="D29" s="224" t="s">
        <v>121</v>
      </c>
      <c r="E29" s="207"/>
      <c r="F29" s="208">
        <v>0</v>
      </c>
      <c r="G29" s="208" t="e">
        <f>$A$29*$C$29</f>
        <v>#REF!</v>
      </c>
      <c r="H29" s="223" t="e">
        <f>SUM(F29:G29)</f>
        <v>#REF!</v>
      </c>
      <c r="I29" s="208">
        <v>0</v>
      </c>
      <c r="J29" s="208" t="e">
        <f>$A$29*$C$29/12*J6</f>
        <v>#REF!</v>
      </c>
      <c r="K29" s="208" t="e">
        <f>$A$29*$C$29/12*K6</f>
        <v>#REF!</v>
      </c>
      <c r="L29" s="208" t="e">
        <f>$A$29*$C$29</f>
        <v>#REF!</v>
      </c>
      <c r="M29" s="223" t="e">
        <f>SUM(I29:L29)</f>
        <v>#REF!</v>
      </c>
      <c r="N29" s="223" t="e">
        <f>H29+M29</f>
        <v>#REF!</v>
      </c>
      <c r="O29" s="252" t="e">
        <f>H29/$H$21</f>
        <v>#REF!</v>
      </c>
      <c r="P29" s="252"/>
    </row>
    <row r="30" spans="1:16" ht="13.8" thickBot="1">
      <c r="A30" s="256" t="e">
        <f>#REF!</f>
        <v>#REF!</v>
      </c>
      <c r="B30" s="258" t="s">
        <v>115</v>
      </c>
      <c r="C30" s="262">
        <f>C14*20%</f>
        <v>20</v>
      </c>
      <c r="D30" s="224" t="s">
        <v>116</v>
      </c>
      <c r="E30" s="207"/>
      <c r="F30" s="208">
        <v>0</v>
      </c>
      <c r="G30" s="208" t="e">
        <f>$A$30*$C$30</f>
        <v>#REF!</v>
      </c>
      <c r="H30" s="223" t="e">
        <f>SUM(F30:G30)</f>
        <v>#REF!</v>
      </c>
      <c r="I30" s="208">
        <v>0</v>
      </c>
      <c r="J30" s="208" t="e">
        <f>$A$30*$C$30/12*J6</f>
        <v>#REF!</v>
      </c>
      <c r="K30" s="208" t="e">
        <f>$A$30*$C$30/12*K6</f>
        <v>#REF!</v>
      </c>
      <c r="L30" s="208" t="e">
        <f>$A$30*$C$30</f>
        <v>#REF!</v>
      </c>
      <c r="M30" s="223" t="e">
        <f>SUM(I30:L30)</f>
        <v>#REF!</v>
      </c>
      <c r="N30" s="223" t="e">
        <f>H30+M30</f>
        <v>#REF!</v>
      </c>
      <c r="O30" s="252" t="e">
        <f>H30/$H$21</f>
        <v>#REF!</v>
      </c>
      <c r="P30" s="252"/>
    </row>
    <row r="31" spans="1:16" ht="13.8" thickBot="1">
      <c r="A31" s="256" t="e">
        <f>#REF!</f>
        <v>#REF!</v>
      </c>
      <c r="B31" s="258" t="s">
        <v>119</v>
      </c>
      <c r="C31" s="262" t="e">
        <f>C15*20%</f>
        <v>#REF!</v>
      </c>
      <c r="D31" s="224" t="s">
        <v>97</v>
      </c>
      <c r="E31" s="207"/>
      <c r="F31" s="208">
        <v>0</v>
      </c>
      <c r="G31" s="208" t="e">
        <f>$A$31*$C$31</f>
        <v>#REF!</v>
      </c>
      <c r="H31" s="223" t="e">
        <f>SUM(F31:G31)</f>
        <v>#REF!</v>
      </c>
      <c r="I31" s="208">
        <v>0</v>
      </c>
      <c r="J31" s="208" t="e">
        <f>$A$31*$C$31/12*J6</f>
        <v>#REF!</v>
      </c>
      <c r="K31" s="208" t="e">
        <f>$A$31*$C$31/12*K6</f>
        <v>#REF!</v>
      </c>
      <c r="L31" s="208" t="e">
        <f>$A$31*$C$31</f>
        <v>#REF!</v>
      </c>
      <c r="M31" s="223" t="e">
        <f>SUM(I31:L31)</f>
        <v>#REF!</v>
      </c>
      <c r="N31" s="223" t="e">
        <f>H31+M31</f>
        <v>#REF!</v>
      </c>
      <c r="O31" s="252" t="e">
        <f>H31/$H$21</f>
        <v>#REF!</v>
      </c>
      <c r="P31" s="252"/>
    </row>
    <row r="32" spans="1:16" ht="15" thickBot="1">
      <c r="A32" s="110"/>
      <c r="B32" s="258"/>
      <c r="C32" s="245"/>
      <c r="D32" s="211" t="s">
        <v>90</v>
      </c>
      <c r="E32" s="226"/>
      <c r="F32" s="227">
        <f t="shared" ref="F32:N32" si="3">SUM(F29:F31)</f>
        <v>0</v>
      </c>
      <c r="G32" s="227" t="e">
        <f t="shared" si="3"/>
        <v>#REF!</v>
      </c>
      <c r="H32" s="228" t="e">
        <f t="shared" si="3"/>
        <v>#REF!</v>
      </c>
      <c r="I32" s="227">
        <f t="shared" si="3"/>
        <v>0</v>
      </c>
      <c r="J32" s="227" t="e">
        <f t="shared" si="3"/>
        <v>#REF!</v>
      </c>
      <c r="K32" s="227" t="e">
        <f t="shared" si="3"/>
        <v>#REF!</v>
      </c>
      <c r="L32" s="227" t="e">
        <f t="shared" si="3"/>
        <v>#REF!</v>
      </c>
      <c r="M32" s="228" t="e">
        <f t="shared" si="3"/>
        <v>#REF!</v>
      </c>
      <c r="N32" s="253" t="e">
        <f t="shared" si="3"/>
        <v>#REF!</v>
      </c>
      <c r="O32" s="252" t="e">
        <f>H32/$H$21</f>
        <v>#REF!</v>
      </c>
      <c r="P32" s="252"/>
    </row>
  </sheetData>
  <mergeCells count="2">
    <mergeCell ref="A5:H5"/>
    <mergeCell ref="O27:P27"/>
  </mergeCells>
  <pageMargins left="0.23622047244094491" right="0.23622047244094491" top="0.74803149606299213" bottom="0.74803149606299213" header="0.31496062992125984" footer="0.31496062992125984"/>
  <pageSetup paperSize="9" scale="71" orientation="landscape" r:id="rId1"/>
  <headerFooter>
    <oddFooter>&amp;L&amp;F&amp;R&amp;A</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8">
    <tabColor rgb="FF92D050"/>
    <pageSetUpPr fitToPage="1"/>
  </sheetPr>
  <dimension ref="A3:Y26"/>
  <sheetViews>
    <sheetView workbookViewId="0">
      <selection activeCell="R17" sqref="R17"/>
    </sheetView>
  </sheetViews>
  <sheetFormatPr defaultColWidth="8.88671875" defaultRowHeight="13.2"/>
  <cols>
    <col min="1" max="1" width="5.88671875" customWidth="1"/>
    <col min="4" max="4" width="7.88671875" customWidth="1"/>
    <col min="6" max="6" width="10.6640625" customWidth="1"/>
    <col min="7" max="7" width="12" customWidth="1"/>
    <col min="8" max="8" width="15.44140625" bestFit="1" customWidth="1"/>
    <col min="9" max="9" width="5.5546875" bestFit="1" customWidth="1"/>
    <col min="10" max="10" width="11.44140625" bestFit="1" customWidth="1"/>
    <col min="11" max="11" width="13.109375" bestFit="1" customWidth="1"/>
    <col min="12" max="12" width="6.44140625" customWidth="1"/>
    <col min="13" max="14" width="5.88671875" customWidth="1"/>
    <col min="15" max="15" width="4.88671875" customWidth="1"/>
    <col min="17" max="17" width="14.5546875" customWidth="1"/>
    <col min="18" max="18" width="11.88671875" customWidth="1"/>
    <col min="19" max="19" width="15.109375" bestFit="1" customWidth="1"/>
    <col min="20" max="22" width="15.109375" customWidth="1"/>
    <col min="23" max="23" width="16.44140625" bestFit="1" customWidth="1"/>
    <col min="24" max="24" width="16.5546875" customWidth="1"/>
    <col min="25" max="25" width="18.109375" bestFit="1" customWidth="1"/>
  </cols>
  <sheetData>
    <row r="3" spans="1:25">
      <c r="A3" s="445"/>
      <c r="B3" s="445"/>
      <c r="C3" s="445"/>
      <c r="D3" s="445"/>
      <c r="E3" s="445"/>
      <c r="F3" s="445"/>
      <c r="G3" s="445"/>
      <c r="H3" s="445"/>
      <c r="I3" s="445"/>
      <c r="J3" s="445"/>
      <c r="K3" s="445"/>
      <c r="L3" s="445"/>
      <c r="M3" s="445"/>
    </row>
    <row r="4" spans="1:25">
      <c r="A4" s="445"/>
      <c r="M4" s="445"/>
    </row>
    <row r="5" spans="1:25">
      <c r="A5" s="445"/>
      <c r="G5" s="1" t="s">
        <v>185</v>
      </c>
      <c r="M5" s="445"/>
      <c r="S5" s="1" t="s">
        <v>84</v>
      </c>
      <c r="T5" s="1"/>
      <c r="U5" s="3"/>
      <c r="V5" s="3"/>
    </row>
    <row r="6" spans="1:25" ht="13.8" thickBot="1">
      <c r="A6" s="445"/>
      <c r="M6" s="445"/>
    </row>
    <row r="7" spans="1:25" ht="68.400000000000006" customHeight="1" thickTop="1" thickBot="1">
      <c r="A7" s="445"/>
      <c r="C7" s="263" t="s">
        <v>98</v>
      </c>
      <c r="D7" s="264" t="s">
        <v>99</v>
      </c>
      <c r="E7" s="264" t="s">
        <v>100</v>
      </c>
      <c r="F7" s="264" t="s">
        <v>101</v>
      </c>
      <c r="G7" s="264" t="s">
        <v>102</v>
      </c>
      <c r="H7" s="264" t="s">
        <v>103</v>
      </c>
      <c r="I7" s="264" t="s">
        <v>104</v>
      </c>
      <c r="J7" s="264" t="s">
        <v>105</v>
      </c>
      <c r="K7" s="264" t="s">
        <v>106</v>
      </c>
      <c r="M7" s="445"/>
      <c r="P7" s="265" t="s">
        <v>98</v>
      </c>
      <c r="Q7" s="266" t="s">
        <v>107</v>
      </c>
      <c r="R7" s="266" t="s">
        <v>108</v>
      </c>
      <c r="S7" s="266" t="s">
        <v>186</v>
      </c>
      <c r="T7" s="448" t="s">
        <v>188</v>
      </c>
      <c r="U7" s="434" t="s">
        <v>186</v>
      </c>
      <c r="V7" s="438" t="s">
        <v>188</v>
      </c>
      <c r="W7" s="266" t="s">
        <v>109</v>
      </c>
      <c r="X7" s="434"/>
      <c r="Y7" s="441"/>
    </row>
    <row r="8" spans="1:25" ht="18" customHeight="1" thickBot="1">
      <c r="A8" s="445"/>
      <c r="C8" s="267">
        <v>2024</v>
      </c>
      <c r="D8" s="268">
        <v>1</v>
      </c>
      <c r="E8" s="453">
        <v>103</v>
      </c>
      <c r="F8" s="454">
        <v>22732</v>
      </c>
      <c r="G8" s="454">
        <v>23163</v>
      </c>
      <c r="H8" s="269" t="e">
        <f>#REF!</f>
        <v>#REF!</v>
      </c>
      <c r="I8" s="288">
        <v>0.1</v>
      </c>
      <c r="J8" s="269">
        <v>13270.12</v>
      </c>
      <c r="K8" s="270" t="e">
        <f>SUM(H8,J8)</f>
        <v>#REF!</v>
      </c>
      <c r="M8" s="445"/>
      <c r="O8" s="3"/>
      <c r="P8" s="271">
        <v>2024</v>
      </c>
      <c r="Q8" s="274" t="e">
        <f>H8</f>
        <v>#REF!</v>
      </c>
      <c r="R8" s="272"/>
      <c r="S8" s="273"/>
      <c r="T8" s="449"/>
      <c r="U8" s="435"/>
      <c r="V8" s="439"/>
      <c r="W8" s="272" t="e">
        <f>SUM(Q8:S8)</f>
        <v>#REF!</v>
      </c>
      <c r="X8" s="442" t="e">
        <f>W8</f>
        <v>#REF!</v>
      </c>
      <c r="Y8" s="444" t="e">
        <f>Q8</f>
        <v>#REF!</v>
      </c>
    </row>
    <row r="9" spans="1:25" ht="18" customHeight="1" thickBot="1">
      <c r="A9" s="445"/>
      <c r="C9" s="275">
        <v>2025</v>
      </c>
      <c r="D9" s="276">
        <v>11</v>
      </c>
      <c r="E9" s="455">
        <v>103</v>
      </c>
      <c r="F9" s="456">
        <v>22732</v>
      </c>
      <c r="G9" s="456">
        <v>23163</v>
      </c>
      <c r="H9" s="277" t="e">
        <f>#REF!</f>
        <v>#REF!</v>
      </c>
      <c r="I9" s="288">
        <v>0.1</v>
      </c>
      <c r="J9" s="277" t="e">
        <f>H9*I9</f>
        <v>#REF!</v>
      </c>
      <c r="K9" s="277" t="e">
        <f>SUM(H9,J9)</f>
        <v>#REF!</v>
      </c>
      <c r="L9" s="446"/>
      <c r="M9" s="445"/>
      <c r="P9" s="278">
        <v>2025</v>
      </c>
      <c r="Q9" s="274" t="e">
        <f>H9</f>
        <v>#REF!</v>
      </c>
      <c r="R9" s="272" t="e">
        <f>H8</f>
        <v>#REF!</v>
      </c>
      <c r="S9" s="273" t="e">
        <f>(Q9+R9)*10%</f>
        <v>#REF!</v>
      </c>
      <c r="T9" s="449">
        <f>211862.93*20%</f>
        <v>42372.586000000003</v>
      </c>
      <c r="U9" s="435" t="e">
        <f>((#REF!+#REF!)/2)*0.1</f>
        <v>#REF!</v>
      </c>
      <c r="V9" s="439" t="e">
        <f>((#REF!+#REF!)/2)*0.2</f>
        <v>#REF!</v>
      </c>
      <c r="W9" s="272" t="e">
        <f>SUM(Q9:S9)</f>
        <v>#REF!</v>
      </c>
      <c r="X9" s="442" t="e">
        <f>Q9+R9+U9</f>
        <v>#REF!</v>
      </c>
      <c r="Y9" s="444" t="e">
        <f>Q9+R9+V9</f>
        <v>#REF!</v>
      </c>
    </row>
    <row r="10" spans="1:25" ht="25.5" customHeight="1" thickTop="1" thickBot="1">
      <c r="A10" s="445"/>
      <c r="C10" s="279" t="s">
        <v>110</v>
      </c>
      <c r="D10" s="280"/>
      <c r="E10" s="281"/>
      <c r="F10" s="281"/>
      <c r="G10" s="282"/>
      <c r="H10" s="283" t="e">
        <f>SUM(H8:H9)</f>
        <v>#REF!</v>
      </c>
      <c r="I10" s="284"/>
      <c r="J10" s="283" t="e">
        <f>SUM(J8:J9)</f>
        <v>#REF!</v>
      </c>
      <c r="K10" s="283" t="e">
        <f>SUM(K8:K9)</f>
        <v>#REF!</v>
      </c>
      <c r="L10" s="447"/>
      <c r="M10" s="445"/>
      <c r="P10" s="278">
        <v>2026</v>
      </c>
      <c r="Q10" s="274"/>
      <c r="R10" s="272" t="e">
        <f>H10</f>
        <v>#REF!</v>
      </c>
      <c r="S10" s="273" t="e">
        <f t="shared" ref="S10:S12" si="0">(Q10+R10)*10%</f>
        <v>#REF!</v>
      </c>
      <c r="T10" s="449">
        <f>231123.2*20%</f>
        <v>46224.640000000007</v>
      </c>
      <c r="U10" s="435" t="e">
        <f>((#REF!+#REF!+#REF!+#REF!)*0.1)</f>
        <v>#REF!</v>
      </c>
      <c r="V10" s="439" t="e">
        <f>(#REF!+#REF!)*0.2</f>
        <v>#REF!</v>
      </c>
      <c r="W10" s="272" t="e">
        <f>SUM(Q10:S10)</f>
        <v>#REF!</v>
      </c>
      <c r="X10" s="442" t="e">
        <f t="shared" ref="X10:X12" si="1">Q10+R10+U10</f>
        <v>#REF!</v>
      </c>
      <c r="Y10" s="444" t="e">
        <f t="shared" ref="Y10:Y12" si="2">Q10+R10+V10</f>
        <v>#REF!</v>
      </c>
    </row>
    <row r="11" spans="1:25" ht="15" thickTop="1" thickBot="1">
      <c r="A11" s="445"/>
      <c r="M11" s="445"/>
      <c r="P11" s="278">
        <v>2027</v>
      </c>
      <c r="Q11" s="272"/>
      <c r="R11" s="272">
        <v>1592414.25</v>
      </c>
      <c r="S11" s="273">
        <f t="shared" si="0"/>
        <v>159241.42500000002</v>
      </c>
      <c r="T11" s="449">
        <f>231123.2*20%</f>
        <v>46224.640000000007</v>
      </c>
      <c r="U11" s="435" t="e">
        <f>(#REF!+#REF!)*0.1</f>
        <v>#REF!</v>
      </c>
      <c r="V11" s="439" t="e">
        <f>(#REF!+#REF!)*0.2</f>
        <v>#REF!</v>
      </c>
      <c r="W11" s="272">
        <f>SUM(Q11:S11)</f>
        <v>1751655.675</v>
      </c>
      <c r="X11" s="442" t="e">
        <f t="shared" si="1"/>
        <v>#REF!</v>
      </c>
      <c r="Y11" s="444" t="e">
        <f t="shared" si="2"/>
        <v>#REF!</v>
      </c>
    </row>
    <row r="12" spans="1:25" ht="14.4" thickBot="1">
      <c r="A12" s="445"/>
      <c r="B12" s="445"/>
      <c r="C12" s="445"/>
      <c r="D12" s="445"/>
      <c r="E12" s="445"/>
      <c r="F12" s="445"/>
      <c r="G12" s="445"/>
      <c r="H12" s="445"/>
      <c r="I12" s="445"/>
      <c r="J12" s="445"/>
      <c r="K12" s="445"/>
      <c r="L12" s="445"/>
      <c r="M12" s="445"/>
      <c r="P12" s="278">
        <v>2028</v>
      </c>
      <c r="Q12" s="272"/>
      <c r="R12" s="272" t="e">
        <f>$H$9</f>
        <v>#REF!</v>
      </c>
      <c r="S12" s="273" t="e">
        <f t="shared" si="0"/>
        <v>#REF!</v>
      </c>
      <c r="T12" s="449">
        <f>211862.93*20%</f>
        <v>42372.586000000003</v>
      </c>
      <c r="U12" s="435" t="e">
        <f>(#REF!+#REF!)*0.1</f>
        <v>#REF!</v>
      </c>
      <c r="V12" s="439" t="e">
        <f>(#REF!+#REF!)*0.2</f>
        <v>#REF!</v>
      </c>
      <c r="W12" s="272" t="e">
        <f>SUM(Q12:S12)</f>
        <v>#REF!</v>
      </c>
      <c r="X12" s="442" t="e">
        <f t="shared" si="1"/>
        <v>#REF!</v>
      </c>
      <c r="Y12" s="444" t="e">
        <f t="shared" si="2"/>
        <v>#REF!</v>
      </c>
    </row>
    <row r="13" spans="1:25" ht="14.4" thickBot="1">
      <c r="P13" s="285" t="s">
        <v>110</v>
      </c>
      <c r="Q13" s="286" t="e">
        <f>SUM(Q8:Q12)</f>
        <v>#REF!</v>
      </c>
      <c r="R13" s="286" t="e">
        <f>SUM(R9:R12)</f>
        <v>#REF!</v>
      </c>
      <c r="S13" s="361" t="e">
        <f>SUM(S9:S12)</f>
        <v>#REF!</v>
      </c>
      <c r="T13" s="450">
        <f>SUM(T8:T12)</f>
        <v>177194.45200000002</v>
      </c>
      <c r="U13" s="436" t="e">
        <f>SUM(U9:U12)</f>
        <v>#REF!</v>
      </c>
      <c r="V13" s="440" t="e">
        <f>SUM(V9:V12)</f>
        <v>#REF!</v>
      </c>
      <c r="W13" s="286" t="e">
        <f>SUM(W8:W12)+0.01</f>
        <v>#REF!</v>
      </c>
      <c r="X13" s="443" t="e">
        <f>SUM(X8:X12)</f>
        <v>#REF!</v>
      </c>
      <c r="Y13" s="444" t="e">
        <f>SUM(Y8:Y12)</f>
        <v>#REF!</v>
      </c>
    </row>
    <row r="14" spans="1:25">
      <c r="S14" s="362" t="e">
        <f>S13/($Q$13+$R$13)</f>
        <v>#REF!</v>
      </c>
      <c r="T14" s="362" t="e">
        <f>T13/(Q13+R13)</f>
        <v>#REF!</v>
      </c>
      <c r="U14" s="362" t="e">
        <f>U13/(Q13+R13)</f>
        <v>#REF!</v>
      </c>
      <c r="V14" s="362" t="e">
        <f>V13/(Q13+R13)</f>
        <v>#REF!</v>
      </c>
      <c r="W14" s="287"/>
      <c r="X14" s="287"/>
    </row>
    <row r="16" spans="1:25">
      <c r="R16" s="151"/>
      <c r="V16" s="151"/>
    </row>
    <row r="17" spans="5:24">
      <c r="Q17" s="151"/>
      <c r="V17" s="151"/>
    </row>
    <row r="18" spans="5:24">
      <c r="Q18" s="151"/>
      <c r="R18" s="151"/>
      <c r="S18" s="359"/>
      <c r="T18" s="359"/>
      <c r="U18" s="359"/>
      <c r="V18" s="359"/>
      <c r="W18" s="151"/>
    </row>
    <row r="19" spans="5:24">
      <c r="P19" s="437"/>
      <c r="Q19" t="s">
        <v>187</v>
      </c>
      <c r="R19" s="359"/>
      <c r="S19" s="151"/>
      <c r="T19" s="151"/>
      <c r="U19" s="151"/>
      <c r="V19" s="151"/>
      <c r="W19" s="151"/>
    </row>
    <row r="20" spans="5:24">
      <c r="Q20" s="433"/>
      <c r="U20" s="151"/>
      <c r="W20" s="360"/>
    </row>
    <row r="21" spans="5:24">
      <c r="P21" s="441"/>
      <c r="Q21" s="151" t="s">
        <v>189</v>
      </c>
      <c r="U21" s="151"/>
      <c r="W21" s="360"/>
      <c r="X21" s="359"/>
    </row>
    <row r="22" spans="5:24">
      <c r="Q22" s="151"/>
      <c r="W22" s="360"/>
    </row>
    <row r="23" spans="5:24">
      <c r="U23" s="151"/>
    </row>
    <row r="26" spans="5:24" ht="15.6">
      <c r="E26" s="452"/>
      <c r="S26" s="451" t="s">
        <v>190</v>
      </c>
    </row>
  </sheetData>
  <pageMargins left="0.70866141732283472" right="0.70866141732283472" top="0.74803149606299213" bottom="0.74803149606299213" header="0.31496062992125984" footer="0.31496062992125984"/>
  <pageSetup paperSize="9" scale="70" orientation="landscape" r:id="rId1"/>
  <headerFooter>
    <oddFooter>&amp;L&amp;F&amp;R&amp;A</oddFooter>
  </headerFooter>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Y36"/>
  <sheetViews>
    <sheetView tabSelected="1" workbookViewId="0">
      <selection activeCell="H24" sqref="H24"/>
    </sheetView>
  </sheetViews>
  <sheetFormatPr defaultColWidth="10.5546875" defaultRowHeight="14.4"/>
  <cols>
    <col min="1" max="1" width="10.5546875" style="366"/>
    <col min="2" max="2" width="50.109375" style="366" customWidth="1"/>
    <col min="3" max="3" width="19.6640625" style="366" customWidth="1"/>
    <col min="4" max="5" width="15.109375" style="366" customWidth="1"/>
    <col min="6" max="6" width="17.5546875" style="366" bestFit="1" customWidth="1"/>
    <col min="7" max="7" width="25.44140625" style="366" customWidth="1"/>
    <col min="8" max="8" width="18.44140625" style="366" customWidth="1"/>
    <col min="9" max="9" width="10.5546875" style="366"/>
    <col min="10" max="10" width="9.88671875" style="366" customWidth="1"/>
    <col min="11" max="11" width="17.44140625" style="366" hidden="1" customWidth="1"/>
    <col min="12" max="12" width="17.5546875" style="366" customWidth="1"/>
    <col min="13" max="13" width="12.109375" style="366" bestFit="1" customWidth="1"/>
    <col min="14" max="14" width="12.109375" style="368" bestFit="1" customWidth="1"/>
    <col min="15" max="15" width="14.33203125" style="366" bestFit="1" customWidth="1"/>
    <col min="16" max="16" width="16.109375" style="366" bestFit="1" customWidth="1"/>
    <col min="17" max="17" width="15.44140625" style="366" bestFit="1" customWidth="1"/>
    <col min="18" max="16384" width="10.5546875" style="366"/>
  </cols>
  <sheetData>
    <row r="1" spans="1:25">
      <c r="A1" s="503"/>
      <c r="B1" s="503"/>
      <c r="C1" s="503"/>
      <c r="D1" s="503"/>
      <c r="E1" s="503"/>
      <c r="F1" s="503"/>
      <c r="G1" s="503"/>
      <c r="H1" s="503"/>
      <c r="I1" s="470"/>
      <c r="J1" s="363"/>
      <c r="K1" s="364"/>
      <c r="L1" s="364"/>
      <c r="M1" s="364"/>
      <c r="N1" s="365"/>
      <c r="O1" s="364"/>
      <c r="P1" s="364"/>
      <c r="Q1" s="364"/>
      <c r="R1" s="364"/>
      <c r="S1" s="364"/>
      <c r="T1" s="364"/>
      <c r="U1" s="364"/>
      <c r="V1" s="364"/>
      <c r="W1" s="364"/>
      <c r="X1" s="364"/>
      <c r="Y1" s="364"/>
    </row>
    <row r="2" spans="1:25" ht="30.9" customHeight="1">
      <c r="A2" s="470"/>
      <c r="B2" s="504" t="s">
        <v>198</v>
      </c>
      <c r="C2" s="504"/>
      <c r="D2" s="504"/>
      <c r="E2" s="504"/>
      <c r="F2" s="504"/>
      <c r="G2" s="504"/>
      <c r="H2" s="504"/>
      <c r="I2" s="504"/>
      <c r="J2" s="367"/>
      <c r="K2" s="367"/>
      <c r="L2" s="367"/>
      <c r="M2" s="367"/>
      <c r="N2" s="367"/>
      <c r="O2" s="367"/>
      <c r="P2" s="367"/>
      <c r="Q2" s="367"/>
      <c r="R2" s="367"/>
      <c r="S2" s="367"/>
      <c r="T2" s="367"/>
      <c r="U2" s="367"/>
      <c r="V2" s="367"/>
      <c r="W2" s="367"/>
      <c r="X2" s="367"/>
      <c r="Y2" s="367"/>
    </row>
    <row r="3" spans="1:25" ht="23.4" customHeight="1" thickBot="1">
      <c r="A3" s="470"/>
      <c r="B3" s="504"/>
      <c r="C3" s="504"/>
      <c r="D3" s="504"/>
      <c r="E3" s="504"/>
      <c r="F3" s="504"/>
      <c r="G3" s="504"/>
      <c r="H3" s="504"/>
      <c r="I3" s="504"/>
    </row>
    <row r="4" spans="1:25" ht="17.399999999999999">
      <c r="A4" s="470"/>
      <c r="B4" s="471"/>
      <c r="C4" s="472"/>
      <c r="D4" s="473"/>
      <c r="E4" s="473"/>
      <c r="F4" s="473"/>
      <c r="G4" s="474"/>
      <c r="H4" s="473"/>
      <c r="I4" s="475"/>
      <c r="L4" s="369"/>
    </row>
    <row r="5" spans="1:25" ht="25.8">
      <c r="A5" s="470"/>
      <c r="B5" s="458" t="s">
        <v>191</v>
      </c>
      <c r="C5" s="370"/>
      <c r="D5" s="370"/>
      <c r="E5" s="370"/>
      <c r="F5" s="371"/>
      <c r="G5" s="370"/>
      <c r="H5" s="370"/>
      <c r="I5" s="372"/>
      <c r="K5" s="466">
        <v>0.1</v>
      </c>
    </row>
    <row r="6" spans="1:25">
      <c r="A6" s="470"/>
      <c r="B6" s="373"/>
      <c r="C6" s="370"/>
      <c r="D6" s="370"/>
      <c r="E6" s="370"/>
      <c r="F6" s="371"/>
      <c r="G6" s="370"/>
      <c r="H6" s="370"/>
      <c r="I6" s="372"/>
      <c r="K6" s="466">
        <v>0</v>
      </c>
    </row>
    <row r="7" spans="1:25">
      <c r="A7" s="470"/>
      <c r="B7" s="374" t="s">
        <v>162</v>
      </c>
      <c r="C7" s="375" t="s">
        <v>163</v>
      </c>
      <c r="D7" s="375" t="s">
        <v>164</v>
      </c>
      <c r="E7" s="375" t="s">
        <v>165</v>
      </c>
      <c r="F7" s="376" t="s">
        <v>166</v>
      </c>
      <c r="G7" s="375" t="s">
        <v>167</v>
      </c>
      <c r="H7" s="375" t="s">
        <v>168</v>
      </c>
      <c r="I7" s="372"/>
      <c r="K7" s="466"/>
      <c r="M7" s="369"/>
      <c r="O7" s="377"/>
    </row>
    <row r="8" spans="1:25">
      <c r="A8" s="470"/>
      <c r="B8" s="378" t="s">
        <v>169</v>
      </c>
      <c r="C8" s="379" t="s">
        <v>170</v>
      </c>
      <c r="D8" s="380">
        <v>1</v>
      </c>
      <c r="E8" s="381"/>
      <c r="F8" s="381">
        <v>1327591.95</v>
      </c>
      <c r="G8" s="382"/>
      <c r="H8" s="383">
        <f>SUM(D8*G8)</f>
        <v>0</v>
      </c>
      <c r="I8" s="372"/>
      <c r="J8" s="462"/>
      <c r="M8" s="384"/>
      <c r="N8" s="385"/>
      <c r="O8" s="386"/>
      <c r="P8" s="387"/>
    </row>
    <row r="9" spans="1:25">
      <c r="A9" s="470"/>
      <c r="B9" s="388"/>
      <c r="C9" s="389"/>
      <c r="D9" s="505" t="s">
        <v>171</v>
      </c>
      <c r="E9" s="506"/>
      <c r="F9" s="390">
        <f>SUM(F8:F8)</f>
        <v>1327591.95</v>
      </c>
      <c r="G9" s="391" t="s">
        <v>172</v>
      </c>
      <c r="H9" s="392">
        <f>SUM(H8:H8)</f>
        <v>0</v>
      </c>
      <c r="I9" s="372"/>
      <c r="J9" s="463"/>
      <c r="M9" s="394"/>
      <c r="N9" s="395"/>
      <c r="O9" s="396"/>
      <c r="P9" s="397"/>
    </row>
    <row r="10" spans="1:25">
      <c r="A10" s="470"/>
      <c r="B10" s="388"/>
      <c r="C10" s="389"/>
      <c r="D10" s="398"/>
      <c r="E10" s="398"/>
      <c r="F10" s="428"/>
      <c r="G10" s="399"/>
      <c r="H10" s="400"/>
      <c r="I10" s="372"/>
      <c r="J10" s="464"/>
      <c r="M10" s="401"/>
      <c r="N10" s="395"/>
      <c r="O10" s="396"/>
      <c r="P10" s="397"/>
    </row>
    <row r="11" spans="1:25">
      <c r="A11" s="470"/>
      <c r="B11" s="402" t="s">
        <v>173</v>
      </c>
      <c r="C11" s="389"/>
      <c r="D11" s="403"/>
      <c r="E11" s="403"/>
      <c r="F11" s="429"/>
      <c r="G11" s="404"/>
      <c r="H11" s="405"/>
      <c r="I11" s="372"/>
      <c r="J11" s="464"/>
      <c r="K11" s="396"/>
      <c r="L11" s="396"/>
      <c r="M11" s="396"/>
      <c r="N11" s="395"/>
      <c r="O11" s="396"/>
    </row>
    <row r="12" spans="1:25">
      <c r="A12" s="470"/>
      <c r="B12" s="476" t="s">
        <v>197</v>
      </c>
      <c r="C12" s="406" t="s">
        <v>174</v>
      </c>
      <c r="D12" s="407">
        <v>350</v>
      </c>
      <c r="E12" s="408">
        <v>313.60000000000002</v>
      </c>
      <c r="F12" s="383">
        <f>D12*E12</f>
        <v>109760.00000000001</v>
      </c>
      <c r="G12" s="382"/>
      <c r="H12" s="383">
        <f>D12*G12</f>
        <v>0</v>
      </c>
      <c r="I12" s="372"/>
    </row>
    <row r="13" spans="1:25">
      <c r="A13" s="470"/>
      <c r="B13" s="476" t="s">
        <v>182</v>
      </c>
      <c r="C13" s="406" t="s">
        <v>174</v>
      </c>
      <c r="D13" s="407">
        <v>1000</v>
      </c>
      <c r="E13" s="408">
        <v>112</v>
      </c>
      <c r="F13" s="383">
        <f>D13*E13</f>
        <v>112000</v>
      </c>
      <c r="G13" s="382"/>
      <c r="H13" s="383">
        <f>D13*G13</f>
        <v>0</v>
      </c>
      <c r="I13" s="372"/>
    </row>
    <row r="14" spans="1:25">
      <c r="A14" s="470"/>
      <c r="B14" s="477" t="s">
        <v>183</v>
      </c>
      <c r="C14" s="406" t="s">
        <v>174</v>
      </c>
      <c r="D14" s="407">
        <v>220</v>
      </c>
      <c r="E14" s="426">
        <v>42.56</v>
      </c>
      <c r="F14" s="427">
        <f>D14*E14</f>
        <v>9363.2000000000007</v>
      </c>
      <c r="G14" s="382"/>
      <c r="H14" s="383">
        <f>D14*G14</f>
        <v>0</v>
      </c>
      <c r="I14" s="372"/>
    </row>
    <row r="15" spans="1:25" ht="14.4" customHeight="1">
      <c r="A15" s="470"/>
      <c r="B15" s="388"/>
      <c r="C15" s="389"/>
      <c r="D15" s="505" t="s">
        <v>199</v>
      </c>
      <c r="E15" s="506"/>
      <c r="F15" s="390">
        <f>SUM(F12:F14)</f>
        <v>231123.20000000001</v>
      </c>
      <c r="G15" s="391" t="s">
        <v>201</v>
      </c>
      <c r="H15" s="392">
        <f>H12+H13+H14</f>
        <v>0</v>
      </c>
      <c r="I15" s="372"/>
      <c r="J15" s="393"/>
    </row>
    <row r="16" spans="1:25" ht="14.4" customHeight="1">
      <c r="A16" s="470"/>
      <c r="B16" s="402"/>
      <c r="C16" s="389"/>
      <c r="D16" s="403"/>
      <c r="E16" s="403"/>
      <c r="F16" s="430"/>
      <c r="G16" s="404"/>
      <c r="H16" s="405"/>
      <c r="I16" s="372"/>
    </row>
    <row r="17" spans="1:14" ht="14.4" customHeight="1">
      <c r="A17" s="470"/>
      <c r="B17" s="402" t="s">
        <v>192</v>
      </c>
      <c r="C17" s="389"/>
      <c r="D17" s="403"/>
      <c r="E17" s="403"/>
      <c r="F17" s="429"/>
      <c r="G17" s="404"/>
      <c r="H17" s="405"/>
      <c r="I17" s="372"/>
    </row>
    <row r="18" spans="1:14" ht="23.4" customHeight="1">
      <c r="A18" s="470"/>
      <c r="B18" s="478" t="s">
        <v>184</v>
      </c>
      <c r="C18" s="500" t="s">
        <v>196</v>
      </c>
      <c r="D18" s="501"/>
      <c r="E18" s="502"/>
      <c r="F18" s="468">
        <v>23787.599999999999</v>
      </c>
      <c r="G18" s="479"/>
      <c r="H18" s="467"/>
      <c r="I18" s="372"/>
    </row>
    <row r="19" spans="1:14" ht="30.9" customHeight="1">
      <c r="A19" s="470"/>
      <c r="B19" s="478" t="s">
        <v>194</v>
      </c>
      <c r="C19" s="500" t="s">
        <v>196</v>
      </c>
      <c r="D19" s="501"/>
      <c r="E19" s="502"/>
      <c r="F19" s="468">
        <v>9911.5</v>
      </c>
      <c r="G19" s="479"/>
      <c r="H19" s="467"/>
      <c r="I19" s="372"/>
      <c r="J19" s="409"/>
      <c r="K19" s="410"/>
    </row>
    <row r="20" spans="1:14">
      <c r="A20" s="470"/>
      <c r="B20" s="411"/>
      <c r="C20" s="370"/>
      <c r="D20" s="507" t="s">
        <v>175</v>
      </c>
      <c r="E20" s="508"/>
      <c r="F20" s="459">
        <f>SUM(F18:F19)</f>
        <v>33699.1</v>
      </c>
      <c r="G20" s="460" t="s">
        <v>193</v>
      </c>
      <c r="H20" s="461">
        <f>SUM(F18+F19)</f>
        <v>33699.1</v>
      </c>
      <c r="I20" s="372"/>
      <c r="J20" s="393"/>
    </row>
    <row r="21" spans="1:14" ht="14.4" customHeight="1">
      <c r="A21" s="470"/>
      <c r="B21" s="411"/>
      <c r="C21" s="370"/>
      <c r="D21" s="403"/>
      <c r="E21" s="403"/>
      <c r="F21" s="431"/>
      <c r="G21" s="370"/>
      <c r="H21" s="412"/>
      <c r="I21" s="372"/>
    </row>
    <row r="22" spans="1:14">
      <c r="A22" s="470"/>
      <c r="B22" s="411"/>
      <c r="C22" s="509" t="s">
        <v>176</v>
      </c>
      <c r="D22" s="510"/>
      <c r="E22" s="511"/>
      <c r="F22" s="413">
        <f>F9+F15+F20</f>
        <v>1592414.25</v>
      </c>
      <c r="G22" s="414" t="s">
        <v>177</v>
      </c>
      <c r="H22" s="383">
        <f>IF(H9="","",H9+H15+H20)</f>
        <v>33699.1</v>
      </c>
      <c r="I22" s="372"/>
      <c r="J22" s="432"/>
      <c r="K22" s="415"/>
      <c r="N22" s="366"/>
    </row>
    <row r="23" spans="1:14">
      <c r="A23" s="470"/>
      <c r="B23" s="411"/>
      <c r="C23" s="416" t="s">
        <v>178</v>
      </c>
      <c r="D23" s="417"/>
      <c r="E23" s="418">
        <v>0.1</v>
      </c>
      <c r="F23" s="419">
        <f>F22*E23</f>
        <v>159241.42500000002</v>
      </c>
      <c r="G23" s="465"/>
      <c r="H23" s="383">
        <f>$H$22*G23</f>
        <v>0</v>
      </c>
      <c r="I23" s="372"/>
      <c r="N23" s="366"/>
    </row>
    <row r="24" spans="1:14">
      <c r="A24" s="470"/>
      <c r="B24" s="411"/>
      <c r="C24" s="512" t="s">
        <v>179</v>
      </c>
      <c r="D24" s="513"/>
      <c r="E24" s="514"/>
      <c r="F24" s="413">
        <f>SUM(F22:F23)</f>
        <v>1751655.675</v>
      </c>
      <c r="G24" s="420" t="s">
        <v>180</v>
      </c>
      <c r="H24" s="392">
        <f>SUM(H22:H23)</f>
        <v>33699.1</v>
      </c>
      <c r="I24" s="372"/>
      <c r="N24" s="366"/>
    </row>
    <row r="25" spans="1:14">
      <c r="A25" s="470"/>
      <c r="B25" s="411"/>
      <c r="C25" s="370"/>
      <c r="D25" s="421"/>
      <c r="E25" s="422"/>
      <c r="F25" s="423"/>
      <c r="G25" s="399"/>
      <c r="H25" s="400"/>
      <c r="I25" s="372"/>
      <c r="N25" s="366"/>
    </row>
    <row r="26" spans="1:14">
      <c r="A26" s="470"/>
      <c r="B26" s="411"/>
      <c r="C26" s="424" t="s">
        <v>181</v>
      </c>
      <c r="D26" s="424"/>
      <c r="E26" s="424"/>
      <c r="F26" s="425"/>
      <c r="G26" s="483"/>
      <c r="H26" s="424"/>
      <c r="I26" s="372"/>
      <c r="N26" s="366"/>
    </row>
    <row r="27" spans="1:14">
      <c r="A27" s="470"/>
      <c r="B27" s="411"/>
      <c r="C27" s="424"/>
      <c r="D27" s="424"/>
      <c r="E27" s="424"/>
      <c r="F27" s="424"/>
      <c r="G27" s="424"/>
      <c r="H27" s="424"/>
      <c r="I27" s="372"/>
      <c r="N27" s="366"/>
    </row>
    <row r="28" spans="1:14" ht="15" customHeight="1">
      <c r="A28" s="470"/>
      <c r="B28" s="411"/>
      <c r="C28" s="515" t="s">
        <v>200</v>
      </c>
      <c r="D28" s="516"/>
      <c r="E28" s="516"/>
      <c r="F28" s="516"/>
      <c r="G28" s="516"/>
      <c r="H28" s="516"/>
      <c r="I28" s="372"/>
      <c r="N28" s="366"/>
    </row>
    <row r="29" spans="1:14">
      <c r="A29" s="470"/>
      <c r="B29" s="411"/>
      <c r="C29" s="516"/>
      <c r="D29" s="516"/>
      <c r="E29" s="516"/>
      <c r="F29" s="516"/>
      <c r="G29" s="516"/>
      <c r="H29" s="516"/>
      <c r="I29" s="372"/>
      <c r="N29" s="366"/>
    </row>
    <row r="30" spans="1:14">
      <c r="A30" s="470"/>
      <c r="B30" s="411"/>
      <c r="C30" s="516"/>
      <c r="D30" s="516"/>
      <c r="E30" s="516"/>
      <c r="F30" s="516"/>
      <c r="G30" s="516"/>
      <c r="H30" s="516"/>
      <c r="I30" s="372"/>
      <c r="N30" s="366"/>
    </row>
    <row r="31" spans="1:14">
      <c r="A31" s="470"/>
      <c r="B31" s="411"/>
      <c r="C31" s="516"/>
      <c r="D31" s="516"/>
      <c r="E31" s="516"/>
      <c r="F31" s="516"/>
      <c r="G31" s="516"/>
      <c r="H31" s="516"/>
      <c r="I31" s="372"/>
      <c r="N31" s="366"/>
    </row>
    <row r="32" spans="1:14">
      <c r="A32" s="470"/>
      <c r="B32" s="411"/>
      <c r="C32" s="457"/>
      <c r="D32" s="457"/>
      <c r="E32" s="457"/>
      <c r="F32" s="457"/>
      <c r="G32" s="457"/>
      <c r="H32" s="457"/>
      <c r="I32" s="372"/>
      <c r="N32" s="366"/>
    </row>
    <row r="33" spans="1:14">
      <c r="A33" s="470"/>
      <c r="B33" s="469"/>
      <c r="C33" s="517" t="s">
        <v>195</v>
      </c>
      <c r="D33" s="517"/>
      <c r="E33" s="517"/>
      <c r="F33" s="517"/>
      <c r="G33" s="517"/>
      <c r="H33" s="457"/>
      <c r="I33" s="372"/>
      <c r="N33" s="366"/>
    </row>
    <row r="34" spans="1:14">
      <c r="A34" s="470"/>
      <c r="B34" s="411"/>
      <c r="C34" s="457"/>
      <c r="D34" s="457"/>
      <c r="E34" s="457"/>
      <c r="F34" s="457"/>
      <c r="G34" s="457"/>
      <c r="H34" s="457"/>
      <c r="I34" s="372"/>
      <c r="N34" s="366"/>
    </row>
    <row r="35" spans="1:14" ht="15" thickBot="1">
      <c r="A35" s="470"/>
      <c r="B35" s="480"/>
      <c r="C35" s="481"/>
      <c r="D35" s="481"/>
      <c r="E35" s="481"/>
      <c r="F35" s="481"/>
      <c r="G35" s="481"/>
      <c r="H35" s="481"/>
      <c r="I35" s="482"/>
    </row>
    <row r="36" spans="1:14">
      <c r="A36" s="470"/>
      <c r="B36" s="470"/>
      <c r="C36" s="470"/>
      <c r="D36" s="470"/>
      <c r="E36" s="470"/>
      <c r="F36" s="470"/>
      <c r="G36" s="470"/>
      <c r="H36" s="470"/>
      <c r="I36" s="470"/>
    </row>
  </sheetData>
  <sheetProtection password="CED6" sheet="1" objects="1" scenarios="1"/>
  <mergeCells count="11">
    <mergeCell ref="D20:E20"/>
    <mergeCell ref="C22:E22"/>
    <mergeCell ref="C24:E24"/>
    <mergeCell ref="C28:H31"/>
    <mergeCell ref="C33:G33"/>
    <mergeCell ref="C19:E19"/>
    <mergeCell ref="A1:H1"/>
    <mergeCell ref="B2:I3"/>
    <mergeCell ref="D9:E9"/>
    <mergeCell ref="D15:E15"/>
    <mergeCell ref="C18:E18"/>
  </mergeCells>
  <dataValidations count="1">
    <dataValidation type="list" allowBlank="1" showInputMessage="1" showErrorMessage="1" sqref="G23">
      <formula1>$K$5:$K$7</formula1>
    </dataValidation>
  </dataValidations>
  <printOptions horizontalCentered="1"/>
  <pageMargins left="0.70866141732283472" right="0.70866141732283472" top="0.74803149606299213" bottom="0.74803149606299213" header="0.31496062992125984" footer="0.31496062992125984"/>
  <pageSetup paperSize="8" orientation="landscape" r:id="rId1"/>
  <customProperties>
    <customPr name="EpmWorksheetKeyString_GU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10"/>
  <dimension ref="A3:E15"/>
  <sheetViews>
    <sheetView workbookViewId="0">
      <selection activeCell="A4" sqref="A4:E14"/>
    </sheetView>
  </sheetViews>
  <sheetFormatPr defaultColWidth="11.5546875" defaultRowHeight="13.2"/>
  <cols>
    <col min="1" max="1" width="49.44140625" customWidth="1"/>
    <col min="2" max="2" width="15.109375" bestFit="1" customWidth="1"/>
    <col min="3" max="3" width="16.109375" bestFit="1" customWidth="1"/>
    <col min="4" max="4" width="14" customWidth="1"/>
    <col min="5" max="5" width="19.88671875" customWidth="1"/>
  </cols>
  <sheetData>
    <row r="3" spans="1:5" ht="13.8" thickBot="1"/>
    <row r="4" spans="1:5" ht="42.6" thickTop="1" thickBot="1">
      <c r="A4" s="518" t="s">
        <v>149</v>
      </c>
      <c r="B4" s="519"/>
      <c r="C4" s="319" t="s">
        <v>150</v>
      </c>
      <c r="D4" s="318" t="s">
        <v>151</v>
      </c>
      <c r="E4" s="320" t="s">
        <v>152</v>
      </c>
    </row>
    <row r="5" spans="1:5" ht="15" thickTop="1">
      <c r="A5" s="321" t="s">
        <v>153</v>
      </c>
      <c r="B5" s="322"/>
      <c r="C5" s="323"/>
      <c r="D5" s="324"/>
      <c r="E5" s="325" t="s">
        <v>154</v>
      </c>
    </row>
    <row r="6" spans="1:5" ht="15" thickBot="1">
      <c r="A6" s="326" t="s">
        <v>155</v>
      </c>
      <c r="B6" s="327" t="s">
        <v>156</v>
      </c>
      <c r="C6" s="335">
        <v>1700</v>
      </c>
      <c r="D6" s="327">
        <v>1</v>
      </c>
      <c r="E6" s="328">
        <v>48471.56</v>
      </c>
    </row>
    <row r="7" spans="1:5" ht="15" thickTop="1" thickBot="1">
      <c r="A7" s="329"/>
      <c r="B7" s="330"/>
      <c r="C7" s="351"/>
      <c r="D7" s="331"/>
      <c r="E7" s="332"/>
    </row>
    <row r="8" spans="1:5" ht="15" thickTop="1">
      <c r="A8" s="321" t="s">
        <v>161</v>
      </c>
      <c r="B8" s="324" t="s">
        <v>157</v>
      </c>
      <c r="C8" s="333">
        <f>1700*2</f>
        <v>3400</v>
      </c>
      <c r="D8" s="324">
        <v>2</v>
      </c>
      <c r="E8" s="334">
        <v>40856.36</v>
      </c>
    </row>
    <row r="9" spans="1:5" ht="15" thickBot="1">
      <c r="A9" s="329"/>
      <c r="B9" s="336"/>
      <c r="C9" s="337"/>
      <c r="D9" s="338"/>
      <c r="E9" s="339"/>
    </row>
    <row r="10" spans="1:5" ht="28.2" thickTop="1">
      <c r="A10" s="352" t="s">
        <v>139</v>
      </c>
      <c r="B10" s="520" t="s">
        <v>158</v>
      </c>
      <c r="C10" s="345">
        <v>1700</v>
      </c>
      <c r="D10" s="340">
        <v>1</v>
      </c>
      <c r="E10" s="341">
        <v>31865.96</v>
      </c>
    </row>
    <row r="11" spans="1:5" ht="15" thickBot="1">
      <c r="A11" s="353" t="s">
        <v>138</v>
      </c>
      <c r="B11" s="521"/>
      <c r="C11" s="342">
        <v>1700</v>
      </c>
      <c r="D11" s="343">
        <v>1</v>
      </c>
      <c r="E11" s="344">
        <v>31865.96</v>
      </c>
    </row>
    <row r="12" spans="1:5" ht="15.6" thickTop="1" thickBot="1">
      <c r="A12" s="329"/>
      <c r="B12" s="336"/>
      <c r="C12" s="337"/>
      <c r="D12" s="338"/>
      <c r="E12" s="332"/>
    </row>
    <row r="13" spans="1:5" ht="42.6" thickTop="1" thickBot="1">
      <c r="A13" s="354" t="s">
        <v>159</v>
      </c>
      <c r="B13" s="355" t="s">
        <v>158</v>
      </c>
      <c r="C13" s="356">
        <v>26158.560000000001</v>
      </c>
      <c r="D13" s="357">
        <v>15.387</v>
      </c>
      <c r="E13" s="358">
        <v>37076.379999999997</v>
      </c>
    </row>
    <row r="14" spans="1:5" ht="15" thickTop="1" thickBot="1">
      <c r="A14" s="346"/>
      <c r="B14" s="347"/>
      <c r="C14" s="348"/>
      <c r="D14" s="349"/>
      <c r="E14" s="350"/>
    </row>
    <row r="15" spans="1:5" ht="13.8" thickTop="1"/>
  </sheetData>
  <mergeCells count="2">
    <mergeCell ref="A4:B4"/>
    <mergeCell ref="B10:B11"/>
  </mergeCells>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P24" sqref="P24"/>
    </sheetView>
  </sheetViews>
  <sheetFormatPr defaultRowHeight="13.2"/>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9</vt:i4>
      </vt:variant>
      <vt:variant>
        <vt:lpstr>Intervals amb nom</vt:lpstr>
      </vt:variant>
      <vt:variant>
        <vt:i4>4</vt:i4>
      </vt:variant>
    </vt:vector>
  </HeadingPairs>
  <TitlesOfParts>
    <vt:vector size="13" baseType="lpstr">
      <vt:lpstr>EST. MITJANA REVISIÓ SALARIS</vt:lpstr>
      <vt:lpstr>Conveni ref-personal necessari</vt:lpstr>
      <vt:lpstr>retribucions-categoria</vt:lpstr>
      <vt:lpstr>resum valoració (2)</vt:lpstr>
      <vt:lpstr>modificacions previstes</vt:lpstr>
      <vt:lpstr>RESUM LICITACIÓ i VEC</vt:lpstr>
      <vt:lpstr>ANNEX4</vt:lpstr>
      <vt:lpstr>profesionals per grups</vt:lpstr>
      <vt:lpstr>Full1</vt:lpstr>
      <vt:lpstr>'Conveni ref-personal necessari'!Àrea_d'impressió</vt:lpstr>
      <vt:lpstr>'EST. MITJANA REVISIÓ SALARIS'!Àrea_d'impressió</vt:lpstr>
      <vt:lpstr>'modificacions previstes'!Àrea_d'impressió</vt:lpstr>
      <vt:lpstr>'resum valoració (2)'!Àrea_d'impressió</vt:lpstr>
    </vt:vector>
  </TitlesOfParts>
  <Company>Ajuntament de Barcelona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 de Xarxa</dc:creator>
  <cp:lastModifiedBy>Ajuntament de Barcelona</cp:lastModifiedBy>
  <cp:lastPrinted>2024-07-22T07:16:19Z</cp:lastPrinted>
  <dcterms:created xsi:type="dcterms:W3CDTF">2005-12-20T09:42:34Z</dcterms:created>
  <dcterms:modified xsi:type="dcterms:W3CDTF">2024-07-23T06:52:29Z</dcterms:modified>
</cp:coreProperties>
</file>