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G:\areas\MEDIAMBIENT\20- SANEJAMENT\01 CONTRACTES EXPLOTACIÓ\01 Concursos sanejament\03 CONCURS 25\00 Dades de treball\05 Dimensionat servei i pressupost\Pressupost bo\"/>
    </mc:Choice>
  </mc:AlternateContent>
  <xr:revisionPtr revIDLastSave="0" documentId="13_ncr:1_{65848FAE-40FC-4BA2-AC3F-5A145A2C815F}" xr6:coauthVersionLast="47" xr6:coauthVersionMax="47" xr10:uidLastSave="{00000000-0000-0000-0000-000000000000}"/>
  <bookViews>
    <workbookView xWindow="-120" yWindow="-120" windowWidth="19440" windowHeight="15000" tabRatio="810" xr2:uid="{00000000-000D-0000-FFFF-FFFF00000000}"/>
  </bookViews>
  <sheets>
    <sheet name="Pressupost base" sheetId="59" r:id="rId1"/>
    <sheet name="DD alta" sheetId="48" r:id="rId2"/>
    <sheet name="Personal general" sheetId="50" r:id="rId3"/>
    <sheet name="Mitjanes cabals" sheetId="52" r:id="rId4"/>
    <sheet name="Fangs i reactius" sheetId="58" r:id="rId5"/>
    <sheet name="Energia" sheetId="61" r:id="rId6"/>
    <sheet name="Costos materials" sheetId="62" r:id="rId7"/>
    <sheet name="Altres conceptes" sheetId="63" r:id="rId8"/>
    <sheet name="Actuacions necessàries" sheetId="64" r:id="rId9"/>
    <sheet name="Sistemes" sheetId="35" r:id="rId10"/>
  </sheets>
  <definedNames>
    <definedName name="_Toc330471287" localSheetId="0">'Pressupost base'!$B$4</definedName>
  </definedNames>
  <calcPr calcId="191029"/>
</workbook>
</file>

<file path=xl/calcChain.xml><?xml version="1.0" encoding="utf-8"?>
<calcChain xmlns="http://schemas.openxmlformats.org/spreadsheetml/2006/main">
  <c r="E5" i="59" l="1"/>
  <c r="F19" i="50"/>
  <c r="M14" i="48"/>
  <c r="M6" i="48"/>
  <c r="M5" i="48"/>
  <c r="M13" i="48"/>
  <c r="M12" i="48"/>
  <c r="M11" i="48"/>
  <c r="M10" i="48"/>
  <c r="M9" i="48"/>
  <c r="M8" i="48"/>
  <c r="M7" i="48"/>
  <c r="E9" i="64" l="1"/>
  <c r="L6" i="52"/>
  <c r="E6" i="59" l="1"/>
  <c r="G6" i="59" s="1"/>
  <c r="O20" i="61"/>
  <c r="O19" i="61"/>
  <c r="O18" i="61"/>
  <c r="O17" i="61"/>
  <c r="O16" i="61"/>
  <c r="O15" i="61"/>
  <c r="O14" i="61"/>
  <c r="O13" i="61"/>
  <c r="O12" i="61"/>
  <c r="O11" i="61"/>
  <c r="O10" i="61"/>
  <c r="O9" i="61"/>
  <c r="O8" i="61"/>
  <c r="O7" i="61"/>
  <c r="O6" i="61"/>
  <c r="O5" i="61"/>
  <c r="O4" i="61"/>
  <c r="D4" i="35" l="1"/>
  <c r="G11" i="35" s="1"/>
  <c r="H11" i="63" l="1"/>
  <c r="I11" i="63"/>
  <c r="J11" i="63"/>
  <c r="K11" i="63"/>
  <c r="L11" i="63"/>
  <c r="M11" i="63"/>
  <c r="N11" i="63"/>
  <c r="O11" i="63"/>
  <c r="P11" i="63"/>
  <c r="G8" i="58"/>
  <c r="H8" i="58"/>
  <c r="I8" i="58"/>
  <c r="M23" i="50"/>
  <c r="H6" i="52"/>
  <c r="H7" i="52"/>
  <c r="H8" i="52"/>
  <c r="H9" i="52"/>
  <c r="H10" i="52"/>
  <c r="H11" i="52"/>
  <c r="H12" i="52"/>
  <c r="H13" i="52"/>
  <c r="H14" i="52"/>
  <c r="G13" i="52"/>
  <c r="C17" i="35" s="1"/>
  <c r="G14" i="52"/>
  <c r="C18" i="35" s="1"/>
  <c r="C16" i="52"/>
  <c r="K24" i="48"/>
  <c r="I13" i="52"/>
  <c r="I14" i="52"/>
  <c r="K25" i="48" l="1"/>
  <c r="E16" i="52" l="1"/>
  <c r="H5" i="64" l="1"/>
  <c r="H6" i="64"/>
  <c r="H7" i="64"/>
  <c r="E7" i="64"/>
  <c r="H3" i="64"/>
  <c r="H4" i="64"/>
  <c r="E3" i="64"/>
  <c r="E4" i="64"/>
  <c r="E6" i="64"/>
  <c r="Q9" i="64" l="1"/>
  <c r="I9" i="64"/>
  <c r="J9" i="64"/>
  <c r="L9" i="64"/>
  <c r="O9" i="64"/>
  <c r="K9" i="64"/>
  <c r="M9" i="64"/>
  <c r="N9" i="64"/>
  <c r="P9" i="64"/>
  <c r="C21" i="64" s="1"/>
  <c r="J17" i="35" s="1"/>
  <c r="C14" i="64"/>
  <c r="J10" i="35" s="1"/>
  <c r="C22" i="64"/>
  <c r="J18" i="35" s="1"/>
  <c r="D22" i="63"/>
  <c r="D24" i="63"/>
  <c r="D11" i="63"/>
  <c r="G5" i="63"/>
  <c r="G6" i="63"/>
  <c r="G7" i="63"/>
  <c r="G8" i="63"/>
  <c r="G4" i="63"/>
  <c r="D5" i="35"/>
  <c r="D3" i="35"/>
  <c r="D64" i="50"/>
  <c r="C64" i="50"/>
  <c r="E61" i="50" l="1"/>
  <c r="P9" i="50" s="1"/>
  <c r="E54" i="50"/>
  <c r="J9" i="50" s="1"/>
  <c r="E60" i="50"/>
  <c r="O9" i="50" s="1"/>
  <c r="E59" i="50"/>
  <c r="E57" i="50"/>
  <c r="E58" i="50"/>
  <c r="N9" i="50" s="1"/>
  <c r="E56" i="50"/>
  <c r="L9" i="50" s="1"/>
  <c r="E55" i="50"/>
  <c r="K9" i="50" s="1"/>
  <c r="C19" i="64"/>
  <c r="J15" i="35" s="1"/>
  <c r="C18" i="64"/>
  <c r="J14" i="35" s="1"/>
  <c r="C15" i="64"/>
  <c r="J11" i="35" s="1"/>
  <c r="C16" i="64"/>
  <c r="J12" i="35" s="1"/>
  <c r="C17" i="64"/>
  <c r="J13" i="35" s="1"/>
  <c r="C20" i="64"/>
  <c r="J16" i="35" s="1"/>
  <c r="K13" i="35"/>
  <c r="D20" i="63"/>
  <c r="D25" i="63"/>
  <c r="K16" i="35" s="1"/>
  <c r="K15" i="35"/>
  <c r="D26" i="63"/>
  <c r="K17" i="35" s="1"/>
  <c r="D23" i="63"/>
  <c r="D27" i="63"/>
  <c r="K18" i="35" s="1"/>
  <c r="E63" i="50"/>
  <c r="R9" i="50" s="1"/>
  <c r="E62" i="50"/>
  <c r="Q9" i="50" s="1"/>
  <c r="Q10" i="50" l="1"/>
  <c r="Q23" i="50" s="1"/>
  <c r="O10" i="50"/>
  <c r="O23" i="50" s="1"/>
  <c r="K10" i="50"/>
  <c r="K23" i="50" s="1"/>
  <c r="N10" i="50"/>
  <c r="N23" i="50" s="1"/>
  <c r="J10" i="50"/>
  <c r="J23" i="50" s="1"/>
  <c r="R10" i="50"/>
  <c r="R23" i="50" s="1"/>
  <c r="L10" i="50"/>
  <c r="L23" i="50" s="1"/>
  <c r="P10" i="50"/>
  <c r="P23" i="50" s="1"/>
  <c r="C24" i="64"/>
  <c r="K14" i="35"/>
  <c r="K11" i="35"/>
  <c r="D21" i="63"/>
  <c r="K12" i="35" s="1"/>
  <c r="E64" i="50"/>
  <c r="E29" i="50" l="1"/>
  <c r="E30" i="50" s="1"/>
  <c r="E31" i="50" s="1"/>
  <c r="E32" i="50" s="1"/>
  <c r="E33" i="50" s="1"/>
  <c r="S23" i="50"/>
  <c r="D19" i="63"/>
  <c r="K10" i="35" s="1"/>
  <c r="E35" i="50" l="1"/>
  <c r="C39" i="50" s="1"/>
  <c r="D29" i="63"/>
  <c r="D26" i="50" l="1"/>
  <c r="J20" i="35"/>
  <c r="K20" i="35"/>
  <c r="K7" i="52"/>
  <c r="K8" i="52"/>
  <c r="K9" i="52"/>
  <c r="K10" i="52"/>
  <c r="K11" i="52"/>
  <c r="K12" i="52"/>
  <c r="K13" i="52"/>
  <c r="K14" i="52"/>
  <c r="D12" i="52" l="1"/>
  <c r="G12" i="52" s="1"/>
  <c r="C16" i="35" s="1"/>
  <c r="D11" i="52"/>
  <c r="G11" i="52" s="1"/>
  <c r="C15" i="35" s="1"/>
  <c r="D7" i="52"/>
  <c r="G7" i="52" s="1"/>
  <c r="C11" i="35" s="1"/>
  <c r="D10" i="52"/>
  <c r="G10" i="52" s="1"/>
  <c r="C14" i="35" s="1"/>
  <c r="D9" i="52"/>
  <c r="G9" i="52" s="1"/>
  <c r="C13" i="35" s="1"/>
  <c r="I11" i="52" l="1"/>
  <c r="I12" i="52"/>
  <c r="I9" i="52"/>
  <c r="I10" i="52"/>
  <c r="I7" i="52"/>
  <c r="D8" i="52"/>
  <c r="G8" i="52" s="1"/>
  <c r="C12" i="35" s="1"/>
  <c r="I8" i="52" l="1"/>
  <c r="F6" i="52"/>
  <c r="D6" i="52"/>
  <c r="G6" i="52" s="1"/>
  <c r="C10" i="35" s="1"/>
  <c r="C20" i="35" s="1"/>
  <c r="D16" i="52" l="1"/>
  <c r="I6" i="52"/>
  <c r="F16" i="52"/>
  <c r="K6" i="52"/>
  <c r="C32" i="61"/>
  <c r="F29" i="50" l="1"/>
  <c r="F30" i="50" s="1"/>
  <c r="F31" i="50" s="1"/>
  <c r="F32" i="50" s="1"/>
  <c r="G29" i="50"/>
  <c r="G30" i="50" s="1"/>
  <c r="G31" i="50" s="1"/>
  <c r="G32" i="50" s="1"/>
  <c r="G33" i="50" s="1"/>
  <c r="H29" i="50"/>
  <c r="H30" i="50" s="1"/>
  <c r="H31" i="50" s="1"/>
  <c r="H32" i="50" s="1"/>
  <c r="H33" i="50" s="1"/>
  <c r="I29" i="50"/>
  <c r="I30" i="50" s="1"/>
  <c r="I31" i="50" s="1"/>
  <c r="I32" i="50" s="1"/>
  <c r="I33" i="50" s="1"/>
  <c r="J29" i="50"/>
  <c r="J30" i="50" s="1"/>
  <c r="J31" i="50" s="1"/>
  <c r="J32" i="50" s="1"/>
  <c r="J33" i="50" s="1"/>
  <c r="K29" i="50"/>
  <c r="K30" i="50" s="1"/>
  <c r="K31" i="50" s="1"/>
  <c r="K32" i="50" s="1"/>
  <c r="K33" i="50" s="1"/>
  <c r="L29" i="50"/>
  <c r="L30" i="50" s="1"/>
  <c r="L31" i="50" s="1"/>
  <c r="L32" i="50" s="1"/>
  <c r="L33" i="50" s="1"/>
  <c r="M29" i="50"/>
  <c r="M30" i="50" s="1"/>
  <c r="M31" i="50" s="1"/>
  <c r="M32" i="50" s="1"/>
  <c r="M33" i="50" s="1"/>
  <c r="I19" i="50"/>
  <c r="J21" i="50"/>
  <c r="K21" i="50"/>
  <c r="L21" i="50"/>
  <c r="M21" i="50"/>
  <c r="N21" i="50"/>
  <c r="O21" i="50"/>
  <c r="P21" i="50"/>
  <c r="Q21" i="50"/>
  <c r="R21" i="50"/>
  <c r="I14" i="50"/>
  <c r="I15" i="50"/>
  <c r="I16" i="50"/>
  <c r="I17" i="50"/>
  <c r="I18" i="50"/>
  <c r="F21" i="50"/>
  <c r="D21" i="50"/>
  <c r="N22" i="61" l="1"/>
  <c r="O22" i="61"/>
  <c r="I9" i="58"/>
  <c r="I10" i="58"/>
  <c r="I11" i="58"/>
  <c r="I12" i="58"/>
  <c r="I13" i="58"/>
  <c r="I14" i="58"/>
  <c r="H9" i="58"/>
  <c r="H10" i="58"/>
  <c r="H11" i="58"/>
  <c r="H12" i="58"/>
  <c r="H13" i="58"/>
  <c r="H14" i="58"/>
  <c r="G15" i="58"/>
  <c r="G16" i="58"/>
  <c r="G9" i="58"/>
  <c r="G10" i="58"/>
  <c r="G11" i="58"/>
  <c r="G12" i="58"/>
  <c r="G13" i="58"/>
  <c r="G14" i="58"/>
  <c r="J6" i="52"/>
  <c r="J7" i="52"/>
  <c r="L7" i="52" s="1"/>
  <c r="J8" i="52"/>
  <c r="L8" i="52" s="1"/>
  <c r="J9" i="52"/>
  <c r="L9" i="52" s="1"/>
  <c r="J10" i="52"/>
  <c r="L10" i="52" s="1"/>
  <c r="J11" i="52"/>
  <c r="L11" i="52" s="1"/>
  <c r="J12" i="52"/>
  <c r="L12" i="52" s="1"/>
  <c r="J13" i="52"/>
  <c r="L13" i="52" s="1"/>
  <c r="J14" i="52"/>
  <c r="L14" i="52" s="1"/>
  <c r="F7" i="48"/>
  <c r="F8" i="48"/>
  <c r="F12" i="48"/>
  <c r="H25" i="48"/>
  <c r="F11" i="48" l="1"/>
  <c r="F9" i="48"/>
  <c r="F6" i="48"/>
  <c r="F5" i="48"/>
  <c r="F13" i="48"/>
  <c r="F10" i="48"/>
  <c r="E16" i="35"/>
  <c r="H18" i="58"/>
  <c r="I18" i="58"/>
  <c r="G18" i="58"/>
  <c r="G14" i="62" l="1"/>
  <c r="F14" i="62"/>
  <c r="E14" i="62"/>
  <c r="D14" i="62"/>
  <c r="C14" i="62"/>
  <c r="F18" i="58" l="1"/>
  <c r="E18" i="58"/>
  <c r="D18" i="58"/>
  <c r="C18" i="58"/>
  <c r="C34" i="61"/>
  <c r="E18" i="35" s="1"/>
  <c r="C33" i="61"/>
  <c r="E17" i="35" s="1"/>
  <c r="C30" i="61"/>
  <c r="E14" i="35" s="1"/>
  <c r="C27" i="61"/>
  <c r="E11" i="35" s="1"/>
  <c r="C31" i="61"/>
  <c r="E15" i="35" s="1"/>
  <c r="C29" i="61"/>
  <c r="E13" i="35" s="1"/>
  <c r="C28" i="61"/>
  <c r="E12" i="35" s="1"/>
  <c r="C26" i="61"/>
  <c r="E10" i="35" s="1"/>
  <c r="D34" i="61"/>
  <c r="N18" i="35" s="1"/>
  <c r="D33" i="61"/>
  <c r="N17" i="35" s="1"/>
  <c r="D32" i="61"/>
  <c r="N16" i="35" s="1"/>
  <c r="D30" i="61"/>
  <c r="N14" i="35" s="1"/>
  <c r="D31" i="61"/>
  <c r="N15" i="35" s="1"/>
  <c r="D29" i="61"/>
  <c r="N13" i="35" s="1"/>
  <c r="E20" i="35" l="1"/>
  <c r="P16" i="35"/>
  <c r="P10" i="35"/>
  <c r="G13" i="35"/>
  <c r="I17" i="35"/>
  <c r="H13" i="35"/>
  <c r="G18" i="35"/>
  <c r="I13" i="35"/>
  <c r="H18" i="35"/>
  <c r="O11" i="35"/>
  <c r="G14" i="35"/>
  <c r="I18" i="35"/>
  <c r="I14" i="35"/>
  <c r="P12" i="35"/>
  <c r="F10" i="35"/>
  <c r="P11" i="35"/>
  <c r="G10" i="35"/>
  <c r="H14" i="35"/>
  <c r="F17" i="35"/>
  <c r="H10" i="35"/>
  <c r="F18" i="35"/>
  <c r="I10" i="35"/>
  <c r="G15" i="35"/>
  <c r="H15" i="35"/>
  <c r="O12" i="35"/>
  <c r="O13" i="35"/>
  <c r="P13" i="35"/>
  <c r="I15" i="35"/>
  <c r="F11" i="35"/>
  <c r="H16" i="35"/>
  <c r="I16" i="35"/>
  <c r="G17" i="35"/>
  <c r="I12" i="35"/>
  <c r="H17" i="35"/>
  <c r="O14" i="35"/>
  <c r="F12" i="35"/>
  <c r="G12" i="35"/>
  <c r="O16" i="35"/>
  <c r="P14" i="35"/>
  <c r="F13" i="35"/>
  <c r="O18" i="35"/>
  <c r="P18" i="35"/>
  <c r="O10" i="35"/>
  <c r="O15" i="35"/>
  <c r="O17" i="35"/>
  <c r="H11" i="35"/>
  <c r="F14" i="35"/>
  <c r="P15" i="35"/>
  <c r="P17" i="35"/>
  <c r="I11" i="35"/>
  <c r="G16" i="35"/>
  <c r="F15" i="35"/>
  <c r="H12" i="35"/>
  <c r="F16" i="35"/>
  <c r="Q10" i="35"/>
  <c r="Q11" i="35"/>
  <c r="Q13" i="35"/>
  <c r="Q14" i="35"/>
  <c r="Q15" i="35"/>
  <c r="Q16" i="35"/>
  <c r="Q17" i="35"/>
  <c r="Q18" i="35"/>
  <c r="Q12" i="35"/>
  <c r="C36" i="61"/>
  <c r="R13" i="35" l="1"/>
  <c r="S13" i="35" s="1"/>
  <c r="E8" i="48" s="1"/>
  <c r="G8" i="48" s="1"/>
  <c r="R14" i="35"/>
  <c r="S14" i="35" s="1"/>
  <c r="E9" i="48" s="1"/>
  <c r="G9" i="48" s="1"/>
  <c r="R15" i="35"/>
  <c r="S15" i="35" s="1"/>
  <c r="E10" i="48" s="1"/>
  <c r="G10" i="48" s="1"/>
  <c r="R18" i="35"/>
  <c r="S18" i="35" s="1"/>
  <c r="R16" i="35"/>
  <c r="S16" i="35" s="1"/>
  <c r="E11" i="48" s="1"/>
  <c r="G11" i="48" s="1"/>
  <c r="P20" i="35"/>
  <c r="H20" i="35"/>
  <c r="G20" i="35"/>
  <c r="I20" i="35"/>
  <c r="O20" i="35"/>
  <c r="R17" i="35"/>
  <c r="S17" i="35" s="1"/>
  <c r="E12" i="48" s="1"/>
  <c r="G12" i="48" s="1"/>
  <c r="F20" i="35"/>
  <c r="Q20" i="35"/>
  <c r="D28" i="61"/>
  <c r="N12" i="35" s="1"/>
  <c r="R12" i="35" s="1"/>
  <c r="S12" i="35" s="1"/>
  <c r="D27" i="61"/>
  <c r="N11" i="35" s="1"/>
  <c r="R11" i="35" s="1"/>
  <c r="S11" i="35" s="1"/>
  <c r="E6" i="48" s="1"/>
  <c r="G6" i="48" s="1"/>
  <c r="D26" i="61"/>
  <c r="N10" i="35" s="1"/>
  <c r="K20" i="61"/>
  <c r="L20" i="61" s="1"/>
  <c r="K19" i="61"/>
  <c r="L19" i="61" s="1"/>
  <c r="K18" i="61"/>
  <c r="L18" i="61" s="1"/>
  <c r="K17" i="61"/>
  <c r="L17" i="61" s="1"/>
  <c r="K16" i="61"/>
  <c r="L16" i="61" s="1"/>
  <c r="K15" i="61"/>
  <c r="L15" i="61" s="1"/>
  <c r="K14" i="61"/>
  <c r="L14" i="61" s="1"/>
  <c r="K13" i="61"/>
  <c r="L13" i="61" s="1"/>
  <c r="K12" i="61"/>
  <c r="L12" i="61" s="1"/>
  <c r="K11" i="61"/>
  <c r="L11" i="61" s="1"/>
  <c r="K10" i="61"/>
  <c r="L10" i="61" s="1"/>
  <c r="K9" i="61"/>
  <c r="L9" i="61" s="1"/>
  <c r="K8" i="61"/>
  <c r="L8" i="61" s="1"/>
  <c r="K7" i="61"/>
  <c r="L7" i="61" s="1"/>
  <c r="K6" i="61"/>
  <c r="L6" i="61" s="1"/>
  <c r="K5" i="61"/>
  <c r="L5" i="61" s="1"/>
  <c r="K4" i="61"/>
  <c r="L4" i="61" s="1"/>
  <c r="N20" i="35" l="1"/>
  <c r="R10" i="35"/>
  <c r="E13" i="48"/>
  <c r="G13" i="48" s="1"/>
  <c r="E7" i="48"/>
  <c r="G7" i="48" s="1"/>
  <c r="D36" i="61"/>
  <c r="S10" i="35" l="1"/>
  <c r="E5" i="48" s="1"/>
  <c r="G5" i="48" s="1"/>
  <c r="R20" i="35"/>
  <c r="I4" i="50"/>
  <c r="I5" i="50"/>
  <c r="I6" i="50"/>
  <c r="I7" i="50"/>
  <c r="I8" i="50"/>
  <c r="I9" i="50"/>
  <c r="I10" i="50"/>
  <c r="I11" i="50"/>
  <c r="I12" i="50"/>
  <c r="I13" i="50"/>
  <c r="L35" i="50" l="1"/>
  <c r="S21" i="50"/>
  <c r="C46" i="50" l="1"/>
  <c r="D17" i="35" s="1"/>
  <c r="L17" i="35" s="1"/>
  <c r="M17" i="35" s="1"/>
  <c r="C12" i="48" s="1"/>
  <c r="M35" i="50"/>
  <c r="C47" i="50" s="1"/>
  <c r="D18" i="35" s="1"/>
  <c r="K35" i="50"/>
  <c r="C43" i="50" s="1"/>
  <c r="D14" i="35" s="1"/>
  <c r="F33" i="50"/>
  <c r="L14" i="35" l="1"/>
  <c r="M14" i="35" s="1"/>
  <c r="C9" i="48" s="1"/>
  <c r="L18" i="35"/>
  <c r="M18" i="35" s="1"/>
  <c r="C13" i="48" s="1"/>
  <c r="D12" i="48"/>
  <c r="H35" i="50"/>
  <c r="C44" i="50" s="1"/>
  <c r="D15" i="35" s="1"/>
  <c r="J35" i="50"/>
  <c r="C40" i="50" s="1"/>
  <c r="D11" i="35" s="1"/>
  <c r="G35" i="50"/>
  <c r="C42" i="50" s="1"/>
  <c r="D13" i="35" s="1"/>
  <c r="I35" i="50"/>
  <c r="C45" i="50" s="1"/>
  <c r="D16" i="35" s="1"/>
  <c r="F35" i="50"/>
  <c r="C41" i="50" s="1"/>
  <c r="D12" i="35" s="1"/>
  <c r="L12" i="35" s="1"/>
  <c r="H12" i="48" l="1"/>
  <c r="L12" i="48"/>
  <c r="N12" i="48" s="1"/>
  <c r="D9" i="48"/>
  <c r="D13" i="48"/>
  <c r="L16" i="35"/>
  <c r="M16" i="35" s="1"/>
  <c r="C11" i="48" s="1"/>
  <c r="L13" i="35"/>
  <c r="M13" i="35" s="1"/>
  <c r="C8" i="48" s="1"/>
  <c r="D8" i="48" s="1"/>
  <c r="L15" i="35"/>
  <c r="M15" i="35" s="1"/>
  <c r="C10" i="48" s="1"/>
  <c r="L11" i="35"/>
  <c r="M11" i="35" s="1"/>
  <c r="C6" i="48" s="1"/>
  <c r="M12" i="35"/>
  <c r="C7" i="48" s="1"/>
  <c r="H13" i="48" l="1"/>
  <c r="L13" i="48"/>
  <c r="N13" i="48" s="1"/>
  <c r="H8" i="48"/>
  <c r="L8" i="48"/>
  <c r="N8" i="48" s="1"/>
  <c r="H9" i="48"/>
  <c r="L9" i="48"/>
  <c r="N9" i="48" s="1"/>
  <c r="D11" i="48"/>
  <c r="D10" i="48"/>
  <c r="D6" i="48"/>
  <c r="D7" i="48"/>
  <c r="N35" i="50"/>
  <c r="H10" i="48" l="1"/>
  <c r="L10" i="48"/>
  <c r="N10" i="48" s="1"/>
  <c r="H11" i="48"/>
  <c r="L11" i="48"/>
  <c r="N11" i="48" s="1"/>
  <c r="H6" i="48"/>
  <c r="L6" i="48"/>
  <c r="N6" i="48" s="1"/>
  <c r="H7" i="48"/>
  <c r="L7" i="48"/>
  <c r="N7" i="48" s="1"/>
  <c r="D10" i="35"/>
  <c r="L10" i="35" s="1"/>
  <c r="C49" i="50"/>
  <c r="D20" i="35" l="1"/>
  <c r="M10" i="35" l="1"/>
  <c r="L20" i="35"/>
  <c r="C5" i="48" l="1"/>
  <c r="M20" i="35"/>
  <c r="D5" i="48" l="1"/>
  <c r="H5" i="48" l="1"/>
  <c r="H14" i="48" s="1"/>
  <c r="L5" i="48"/>
  <c r="L14" i="48" l="1"/>
  <c r="N5" i="48"/>
  <c r="N14" i="48" s="1"/>
  <c r="H16" i="48"/>
  <c r="H18" i="48" s="1"/>
  <c r="C5" i="59" s="1"/>
  <c r="C7" i="59" l="1"/>
  <c r="E7" i="59"/>
  <c r="G5" i="59" l="1"/>
  <c r="C8" i="59" s="1"/>
</calcChain>
</file>

<file path=xl/sharedStrings.xml><?xml version="1.0" encoding="utf-8"?>
<sst xmlns="http://schemas.openxmlformats.org/spreadsheetml/2006/main" count="429" uniqueCount="240">
  <si>
    <t>BREDA</t>
  </si>
  <si>
    <t>HOSTALRIC</t>
  </si>
  <si>
    <t>MAÇANET DE LA SELVA</t>
  </si>
  <si>
    <t>SILS-VIDRERES</t>
  </si>
  <si>
    <t>RIELLS I VIABREA</t>
  </si>
  <si>
    <t>EDAR</t>
  </si>
  <si>
    <t xml:space="preserve">Variable
€/període </t>
  </si>
  <si>
    <t xml:space="preserve">Fix
€/període </t>
  </si>
  <si>
    <t>Personal</t>
  </si>
  <si>
    <t>Manteniment EDAR</t>
  </si>
  <si>
    <t>Manteniment Col·lectors</t>
  </si>
  <si>
    <t>Productes, Materials i Serveis</t>
  </si>
  <si>
    <t>Despeses Administratives i Varis</t>
  </si>
  <si>
    <t>Productes químics</t>
  </si>
  <si>
    <t xml:space="preserve">Evacuació Residus </t>
  </si>
  <si>
    <t>Fangs</t>
  </si>
  <si>
    <t>CAN FORNACA</t>
  </si>
  <si>
    <t>MAÇANET RESIDENCIAL</t>
  </si>
  <si>
    <t>Fix 
€/dia</t>
  </si>
  <si>
    <t>Funció</t>
  </si>
  <si>
    <t>Grup professional</t>
  </si>
  <si>
    <t>Número</t>
  </si>
  <si>
    <t>% Dedicació</t>
  </si>
  <si>
    <t xml:space="preserve">TOTAL </t>
  </si>
  <si>
    <t>Breda</t>
  </si>
  <si>
    <t>Hostalric</t>
  </si>
  <si>
    <t>Maçanet</t>
  </si>
  <si>
    <t>Riells</t>
  </si>
  <si>
    <t>Can Fornaca</t>
  </si>
  <si>
    <t>Maçanet Residencial</t>
  </si>
  <si>
    <t>MASSANES</t>
  </si>
  <si>
    <t>RIUCLAR</t>
  </si>
  <si>
    <t>MITJANA</t>
  </si>
  <si>
    <t>Tarifa</t>
  </si>
  <si>
    <t>Pot. contractada</t>
  </si>
  <si>
    <t>Companyia</t>
  </si>
  <si>
    <t>nº Pòlissa</t>
  </si>
  <si>
    <t>Nº CUPS</t>
  </si>
  <si>
    <t>Finalització contracte</t>
  </si>
  <si>
    <t>3.1A</t>
  </si>
  <si>
    <t>Endesa Energia S.A.U.</t>
  </si>
  <si>
    <t>31/07/2018*</t>
  </si>
  <si>
    <t>EDAR BREDA</t>
  </si>
  <si>
    <t>3.0A</t>
  </si>
  <si>
    <t>ES0031408038252001AH0F</t>
  </si>
  <si>
    <t>31/10/2017*</t>
  </si>
  <si>
    <t>EB Repiaix</t>
  </si>
  <si>
    <t>ES0031408122858001CN0F</t>
  </si>
  <si>
    <t>EDAR HOSTALRIC</t>
  </si>
  <si>
    <t>ES0031406039436001TF</t>
  </si>
  <si>
    <t>30/06/2018*</t>
  </si>
  <si>
    <t>EBAR LLEVANT</t>
  </si>
  <si>
    <t>ES0031406039353001WZ</t>
  </si>
  <si>
    <t>EBAR POLIGON</t>
  </si>
  <si>
    <t xml:space="preserve"> 2.1A</t>
  </si>
  <si>
    <t>ES0031408217727001PS</t>
  </si>
  <si>
    <t>EBAR LLEVANTET</t>
  </si>
  <si>
    <t>2.0A</t>
  </si>
  <si>
    <t>ES0031406240760001SQ</t>
  </si>
  <si>
    <t>EDAR MAÇANET DE LA SELVA</t>
  </si>
  <si>
    <t>ES0031406116835001KM0F</t>
  </si>
  <si>
    <t>30/10/2017*</t>
  </si>
  <si>
    <t>EDAR MAÇANET RESIDEN.</t>
  </si>
  <si>
    <t>ES0031408342635001PY0F</t>
  </si>
  <si>
    <t>19/07/2017*</t>
  </si>
  <si>
    <t>EDAR CAN FORNACA</t>
  </si>
  <si>
    <t>ES0031408328910001GA0F</t>
  </si>
  <si>
    <t>31/08/2017*</t>
  </si>
  <si>
    <t>EDAR RIELLS I VIABREA</t>
  </si>
  <si>
    <t>ES0031406033986001NH</t>
  </si>
  <si>
    <t>EDAR SILS-VIDRERES</t>
  </si>
  <si>
    <t>ES0031406144637001SL</t>
  </si>
  <si>
    <t>EBAR Sils-1</t>
  </si>
  <si>
    <t>ES0031406144870001AY0F</t>
  </si>
  <si>
    <t>08/03/2017*</t>
  </si>
  <si>
    <t>EBAR Sils-2</t>
  </si>
  <si>
    <t>ES0031406145540001SQ0F</t>
  </si>
  <si>
    <t>04/08/2017*</t>
  </si>
  <si>
    <t>EB Vallcanera</t>
  </si>
  <si>
    <t>ES0031408011001001EQ0F</t>
  </si>
  <si>
    <t>03/11/2017*</t>
  </si>
  <si>
    <t>EB Mallorquines</t>
  </si>
  <si>
    <t>2.1DHA</t>
  </si>
  <si>
    <t>ES0031406144808001KZ0F</t>
  </si>
  <si>
    <t>16/02/2017*</t>
  </si>
  <si>
    <t>2.1A</t>
  </si>
  <si>
    <t>ES0031408426800001XW0F</t>
  </si>
  <si>
    <t>ES0031408426796001CG0F</t>
  </si>
  <si>
    <t>* Es renovarà automaticament amb Endesa</t>
  </si>
  <si>
    <t>COS FI</t>
  </si>
  <si>
    <t>Recàrrec ?</t>
  </si>
  <si>
    <t>Massanes</t>
  </si>
  <si>
    <t>Riuclar</t>
  </si>
  <si>
    <t xml:space="preserve">Despeses generals i benefici industrial </t>
  </si>
  <si>
    <t>€/any</t>
  </si>
  <si>
    <t>Maçanet de la Selva</t>
  </si>
  <si>
    <t>Riells i Viabrea</t>
  </si>
  <si>
    <t>Sils-Vidreres</t>
  </si>
  <si>
    <t>Massanes (fangs líquids)</t>
  </si>
  <si>
    <t>Riuclar (fangs líquids)</t>
  </si>
  <si>
    <t>Aiguaviva Parc</t>
  </si>
  <si>
    <t>TOTAL</t>
  </si>
  <si>
    <t>TOTAL
DESPESA
DIRECTA (EXECUCIÓ MATERIAL)</t>
  </si>
  <si>
    <t>TOTAL % dedicació personal</t>
  </si>
  <si>
    <t>COST D'EXPLOTACIÓ PER SISTEMA</t>
  </si>
  <si>
    <t>* Aquest import forma part del contracte però s'executarà en funció dels fons que l'ACA atorgui al CCS</t>
  </si>
  <si>
    <t>TOTAL
DESPESA
DIRECTA (EXECUCIÓ MATERIAL)
€/any</t>
  </si>
  <si>
    <t>Anys de servei durant el contracte</t>
  </si>
  <si>
    <t>TOTAL
DESPESA
DIRECTA (EXECUCIÓ MATERIAL)
€</t>
  </si>
  <si>
    <t>MODIFICACIONS PREVISTES DEL CONTRACTE PER INCORPORACIÓ DE NOUS SISTEMES DE SANEJAMENT EN ALTA</t>
  </si>
  <si>
    <t>Potencia E. Elèctrica</t>
  </si>
  <si>
    <t>Consum E. Elèctrica EDAR</t>
  </si>
  <si>
    <t>MITJANES CABAL TRACTAT</t>
  </si>
  <si>
    <t>ESTIMACIÓ COST PERSONAL 2025</t>
  </si>
  <si>
    <t>ESTIMACIÓ COST PERSONAL 2026</t>
  </si>
  <si>
    <t>ESTIMACIÓ COST PERSONAL 2027</t>
  </si>
  <si>
    <t>ESTIMACIÓ COST PERSONAL 2028</t>
  </si>
  <si>
    <t>TOTAL cost personal 2024</t>
  </si>
  <si>
    <t>MITJANA PRODUCCIÓ DE 
FANGS 2021-23
(kg)</t>
  </si>
  <si>
    <t>MITJANA CONSUM DE 
CLORUR FÈRRIC                  2021-23
(kg)</t>
  </si>
  <si>
    <t>MITJANA CONSUM DE 
POLIELECTRÒLIT                  2021-23
(kg)</t>
  </si>
  <si>
    <t>(*) són costos sense IVA</t>
  </si>
  <si>
    <t>Cost termes fixos                         Total 2023 (€)</t>
  </si>
  <si>
    <t>Kwh  Activa 2023</t>
  </si>
  <si>
    <t>Kwh  Reactiva 2023</t>
  </si>
  <si>
    <t>TOTAL cost personal 2024 per sistema</t>
  </si>
  <si>
    <t>Cost termes fixos                         Total 2023 (€) per sistema</t>
  </si>
  <si>
    <t>Cost termes variables                                 Total 2023 (€) per sistema</t>
  </si>
  <si>
    <t>Increment de cost de fangs</t>
  </si>
  <si>
    <t>Increment partides materials</t>
  </si>
  <si>
    <t>Consum polielectròlit                 (€)</t>
  </si>
  <si>
    <t>Fangs               (€)</t>
  </si>
  <si>
    <t>TOTAL:</t>
  </si>
  <si>
    <t>MITJANA PRODUCCIÓ DE 
FANGS liquids 2021-23
(m3)</t>
  </si>
  <si>
    <t>Manteniment EDAR                   (€)</t>
  </si>
  <si>
    <t>Manteniment col·lectors                               (€)</t>
  </si>
  <si>
    <t>Productes, materials i serveis varis (€)</t>
  </si>
  <si>
    <t>Despeses administratives                     (€)</t>
  </si>
  <si>
    <t>Evacuació de residus                 (€)</t>
  </si>
  <si>
    <t>Increment anual</t>
  </si>
  <si>
    <t>Increment mitjà del contracte</t>
  </si>
  <si>
    <r>
      <t>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 mes</t>
    </r>
  </si>
  <si>
    <r>
      <t>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 dia</t>
    </r>
  </si>
  <si>
    <t>Preu fangs</t>
  </si>
  <si>
    <t>Preu fangs líquids</t>
  </si>
  <si>
    <t>Consum clorur fèrric                             (€)</t>
  </si>
  <si>
    <t>Preu Polielectròlit</t>
  </si>
  <si>
    <t>Preu Clorur fèrric</t>
  </si>
  <si>
    <t>FIX ANUAL</t>
  </si>
  <si>
    <t>VARIABLE TOTAL</t>
  </si>
  <si>
    <t>Q (dam3/any)</t>
  </si>
  <si>
    <t>Increment energia</t>
  </si>
  <si>
    <t>LOT</t>
  </si>
  <si>
    <t>CAP DE PROCÉS</t>
  </si>
  <si>
    <t>OFICIAL MANTENIMENT</t>
  </si>
  <si>
    <t>ADMINISTRATIU</t>
  </si>
  <si>
    <t>OPERARI EDAR SILS-VIDRERES</t>
  </si>
  <si>
    <t>OPERARI MAÇANET SELVA</t>
  </si>
  <si>
    <t>OPERARI MAÇANET RESIDENCIAL</t>
  </si>
  <si>
    <t>OPERARI HOSTALRIC</t>
  </si>
  <si>
    <t>OPERARI BREDA</t>
  </si>
  <si>
    <t>OPERARI RIELLS VIABREA</t>
  </si>
  <si>
    <t>OPERARI CAN FORNACA, RIUCLAR i MASSANES</t>
  </si>
  <si>
    <t>GP 4</t>
  </si>
  <si>
    <t>GP 3B</t>
  </si>
  <si>
    <t>GP 2A</t>
  </si>
  <si>
    <t>GP 2B</t>
  </si>
  <si>
    <t>GP 5</t>
  </si>
  <si>
    <t>Increments salaris</t>
  </si>
  <si>
    <t>IMPORTS SALARIS PER SISTEMES</t>
  </si>
  <si>
    <r>
      <t>Variable €/dam</t>
    </r>
    <r>
      <rPr>
        <b/>
        <vertAlign val="superscript"/>
        <sz val="11"/>
        <rFont val="Arial"/>
        <family val="2"/>
      </rPr>
      <t>3</t>
    </r>
  </si>
  <si>
    <r>
      <t>dam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>/any</t>
    </r>
  </si>
  <si>
    <t xml:space="preserve">Cost </t>
  </si>
  <si>
    <t>Transport + Compostatge Vilablareix</t>
  </si>
  <si>
    <t>Costos 2023</t>
  </si>
  <si>
    <t>Total despeses directes ANUALS d'explotació, conservació i manteniment 
Contracte 2025-2029</t>
  </si>
  <si>
    <t>DESPESES DIRECTES EN ALTA - CONTRACTE 2025-2029</t>
  </si>
  <si>
    <t>ESTIMACIÓ COST PERSONAL 2029</t>
  </si>
  <si>
    <t>MITJANA DE COST 2025-2029</t>
  </si>
  <si>
    <t>CAP DE SERVEI</t>
  </si>
  <si>
    <t>Núm. Bombaments externs</t>
  </si>
  <si>
    <t>Km col·lectors</t>
  </si>
  <si>
    <t>% dedicació equip bombaments i col·lectors</t>
  </si>
  <si>
    <t>Assignació del 50%</t>
  </si>
  <si>
    <t>Plantes Sur</t>
  </si>
  <si>
    <t>ANALÍTIQUES AIGUA DE SERVEI</t>
  </si>
  <si>
    <t>MANTENIMENT PROGRAMES DE GESTIÓ</t>
  </si>
  <si>
    <t>AUDITORIA DEL SERVEI</t>
  </si>
  <si>
    <t>TOTAL cost</t>
  </si>
  <si>
    <t>TOTAL cost 2024 per sistema</t>
  </si>
  <si>
    <t>Sistema de gestió</t>
  </si>
  <si>
    <t>Cabalímetres:</t>
  </si>
  <si>
    <t>Eines i materials</t>
  </si>
  <si>
    <t>Can Fornaca (purga)</t>
  </si>
  <si>
    <t>TOTAL cost 2024</t>
  </si>
  <si>
    <t>Amortització anual</t>
  </si>
  <si>
    <t>Cost total</t>
  </si>
  <si>
    <t>IMPORTS PER SISTEMES</t>
  </si>
  <si>
    <t>Neteja i reposició 20% membranes - Riells</t>
  </si>
  <si>
    <t>ACTUACIONS PER SISTEMES</t>
  </si>
  <si>
    <t>Altres conceptes</t>
  </si>
  <si>
    <t>Actuacions necessàries</t>
  </si>
  <si>
    <t>REVISIÓ COSTOS PÈRSONAL</t>
  </si>
  <si>
    <t>Sistema sanejament</t>
  </si>
  <si>
    <t>Gral</t>
  </si>
  <si>
    <t>FIX Diari (€/dia)</t>
  </si>
  <si>
    <t>Total (€/any)</t>
  </si>
  <si>
    <t>VARIABLE (€/dam3)</t>
  </si>
  <si>
    <t>OPERARI MANTENIMENT</t>
  </si>
  <si>
    <t>COORDINACIÓ SEGURETAT I SALUT</t>
  </si>
  <si>
    <t>VEHICLES ADDICIONALS</t>
  </si>
  <si>
    <t>PRESSUPOST BASE DE  LICITACIÓ Lot 2</t>
  </si>
  <si>
    <t>PRESSUPOST BASE  DE LICITACIÓ Lot 2</t>
  </si>
  <si>
    <t>Pressupost licitació sense IVA</t>
  </si>
  <si>
    <t>IVA</t>
  </si>
  <si>
    <t>Pressupost licitació</t>
  </si>
  <si>
    <t>Anys</t>
  </si>
  <si>
    <t xml:space="preserve">Pressupost base Servei d'Operació (Explotació, Conservació i Manteniment) dels sistemes de sanejament (SO)               </t>
  </si>
  <si>
    <t>Pressupost base Partida Alçada per l’execució de Reposicions i Millores (PARIMS)*</t>
  </si>
  <si>
    <t>Pressupost base licitació ((SO + PARIMS)*TC)</t>
  </si>
  <si>
    <t>Cost termes variables                                 0,200 €/kwh (€)</t>
  </si>
  <si>
    <t>P1 44KW;P2 44KW;P3 44KW;P4 44KW;P5 44KW;P6 44KW</t>
  </si>
  <si>
    <t>P1 11KW;P2 13KW;P3 13KW; P4 13KW; P5 13KW;P6 31,5KW</t>
  </si>
  <si>
    <t>P1 70KW;P2 70KW;P3 70KW; P4 70KW;P5 70KW;P6 70KW</t>
  </si>
  <si>
    <t>P1 11KW;P2 13KW; P3 13KW; P4 13KW; P5 13KW;P6 50KW</t>
  </si>
  <si>
    <t>Punta 15 KW;Valle 15KW</t>
  </si>
  <si>
    <t>Punta 10 KW;Valle 10KW</t>
  </si>
  <si>
    <t>P1 85KW;P2 85KW;P3 85KW;P4 85KW;P5 85KW;P6 180KW</t>
  </si>
  <si>
    <t>P1 87KW;P2 87KW; P3 87KW; P4 87KW; P5 87KW;P6 87KW</t>
  </si>
  <si>
    <t>P1 30KW;P2 30KW; P3 30KW; P4 30W; P5 30KW;P6 30KW</t>
  </si>
  <si>
    <t>P1 110KW;P2 110KW;P3 110KW;P4 110KW;P5 110KW;P6 110KW</t>
  </si>
  <si>
    <t>P1 130KW;P2 155KW;P3 155KW;P4 155KW;P5 155KW;P6 155KW</t>
  </si>
  <si>
    <t>P1 25KW;P2 25W;P3 25KW;P4 25KW;P5 25KW;P6 25KW</t>
  </si>
  <si>
    <t>P1 35KW;P2 35W;P3 35KW;P4 35KW;P5 35KW;P6 35KW</t>
  </si>
  <si>
    <t>Punta 10,392KW;Valle 10,392KW</t>
  </si>
  <si>
    <t>Punta 13,856KW;Valle 13,856KW</t>
  </si>
  <si>
    <t>ANALISTA I RESPONSABLE DE QUALITAT</t>
  </si>
  <si>
    <t>OPERARI SUBSTITUCIONS (CORRETORNS)</t>
  </si>
  <si>
    <t>OFICIAL MANTENIMENT COL·LECTORS, EBARs I SOBREEIXIDORS</t>
  </si>
  <si>
    <t>OPERARI MANTENIMENT COL·LECTORS, EBARs I SOBREEIXIDORS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</si>
</sst>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0"/>
    <numFmt numFmtId="165" formatCode="_-* #,##0.00\ [$€-1]_-;\-* #,##0.00\ [$€-1]_-;_-* &quot;-&quot;??\ [$€-1]_-"/>
    <numFmt numFmtId="166" formatCode="0.000"/>
    <numFmt numFmtId="167" formatCode="_-* #,##0.00\ [$€]_-;\-* #,##0.00\ [$€]_-;_-* &quot;-&quot;??\ [$€]_-;_-@_-"/>
    <numFmt numFmtId="168" formatCode="_-* #,##0\ _p_t_a_-;\-* #,##0\ _p_t_a_-;_-* &quot;-&quot;\ _p_t_a_-;_-@_-"/>
    <numFmt numFmtId="169" formatCode="0.0%"/>
    <numFmt numFmtId="170" formatCode="#,##0.00\ &quot;€&quot;"/>
    <numFmt numFmtId="171" formatCode="0.0"/>
    <numFmt numFmtId="172" formatCode="#,##0.00_ ;\-#,##0.00\ "/>
    <numFmt numFmtId="173" formatCode="#,##0\ &quot;€&quot;"/>
  </numFmts>
  <fonts count="47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G Times"/>
    </font>
    <font>
      <sz val="10"/>
      <color indexed="22"/>
      <name val="MS Sans Serif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i/>
      <sz val="8"/>
      <color rgb="FFFF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2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4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9">
    <xf numFmtId="0" fontId="0" fillId="0" borderId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0" fillId="0" borderId="0"/>
    <xf numFmtId="0" fontId="5" fillId="0" borderId="0"/>
    <xf numFmtId="0" fontId="5" fillId="0" borderId="0"/>
    <xf numFmtId="0" fontId="20" fillId="0" borderId="0"/>
    <xf numFmtId="0" fontId="7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" fillId="0" borderId="0"/>
    <xf numFmtId="0" fontId="16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30" fillId="6" borderId="0" applyNumberFormat="0" applyBorder="0" applyAlignment="0" applyProtection="0"/>
    <xf numFmtId="0" fontId="31" fillId="18" borderId="44" applyNumberFormat="0" applyAlignment="0" applyProtection="0"/>
    <xf numFmtId="0" fontId="32" fillId="19" borderId="45" applyNumberFormat="0" applyAlignment="0" applyProtection="0"/>
    <xf numFmtId="0" fontId="33" fillId="0" borderId="46" applyNumberFormat="0" applyFill="0" applyAlignment="0" applyProtection="0"/>
    <xf numFmtId="0" fontId="34" fillId="0" borderId="0" applyNumberFormat="0" applyFill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23" borderId="0" applyNumberFormat="0" applyBorder="0" applyAlignment="0" applyProtection="0"/>
    <xf numFmtId="0" fontId="35" fillId="9" borderId="44" applyNumberFormat="0" applyAlignment="0" applyProtection="0"/>
    <xf numFmtId="0" fontId="36" fillId="5" borderId="0" applyNumberFormat="0" applyBorder="0" applyAlignment="0" applyProtection="0"/>
    <xf numFmtId="168" fontId="5" fillId="0" borderId="0" applyFont="0" applyFill="0" applyBorder="0" applyAlignment="0" applyProtection="0"/>
    <xf numFmtId="0" fontId="37" fillId="24" borderId="0" applyNumberFormat="0" applyBorder="0" applyAlignment="0" applyProtection="0"/>
    <xf numFmtId="0" fontId="5" fillId="0" borderId="0"/>
    <xf numFmtId="0" fontId="5" fillId="25" borderId="48" applyNumberFormat="0" applyFont="0" applyAlignment="0" applyProtection="0"/>
    <xf numFmtId="3" fontId="38" fillId="0" borderId="0" applyFont="0" applyFill="0" applyBorder="0" applyAlignment="0" applyProtection="0"/>
    <xf numFmtId="0" fontId="39" fillId="18" borderId="49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47" applyNumberFormat="0" applyFill="0" applyAlignment="0" applyProtection="0"/>
    <xf numFmtId="0" fontId="44" fillId="0" borderId="50" applyNumberFormat="0" applyFill="0" applyAlignment="0" applyProtection="0"/>
    <xf numFmtId="0" fontId="34" fillId="0" borderId="51" applyNumberFormat="0" applyFill="0" applyAlignment="0" applyProtection="0"/>
    <xf numFmtId="0" fontId="45" fillId="0" borderId="52" applyNumberFormat="0" applyFill="0" applyAlignment="0" applyProtection="0"/>
  </cellStyleXfs>
  <cellXfs count="460">
    <xf numFmtId="0" fontId="0" fillId="0" borderId="0" xfId="0"/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0" fontId="5" fillId="2" borderId="3" xfId="0" quotePrefix="1" applyFont="1" applyFill="1" applyBorder="1" applyAlignment="1">
      <alignment horizontal="center" vertical="center"/>
    </xf>
    <xf numFmtId="0" fontId="14" fillId="2" borderId="3" xfId="32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1" fontId="14" fillId="2" borderId="3" xfId="32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center"/>
    </xf>
    <xf numFmtId="0" fontId="18" fillId="0" borderId="0" xfId="0" quotePrefix="1" applyFont="1" applyAlignment="1">
      <alignment horizontal="left" vertical="center" indent="4"/>
    </xf>
    <xf numFmtId="3" fontId="5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2" fontId="0" fillId="0" borderId="0" xfId="0" applyNumberFormat="1"/>
    <xf numFmtId="0" fontId="11" fillId="0" borderId="0" xfId="0" applyFont="1" applyAlignment="1">
      <alignment horizontal="justify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horizontal="center" vertical="center" wrapText="1"/>
    </xf>
    <xf numFmtId="44" fontId="12" fillId="0" borderId="0" xfId="13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0" fontId="12" fillId="0" borderId="17" xfId="41" applyNumberFormat="1" applyFont="1" applyFill="1" applyBorder="1" applyAlignment="1">
      <alignment horizontal="center" vertical="center"/>
    </xf>
    <xf numFmtId="170" fontId="12" fillId="0" borderId="0" xfId="13" applyNumberFormat="1" applyFont="1" applyBorder="1" applyAlignment="1">
      <alignment horizontal="center" vertical="center"/>
    </xf>
    <xf numFmtId="170" fontId="12" fillId="0" borderId="10" xfId="13" applyNumberFormat="1" applyFont="1" applyBorder="1" applyAlignment="1">
      <alignment horizontal="center" vertical="center"/>
    </xf>
    <xf numFmtId="170" fontId="12" fillId="0" borderId="10" xfId="13" applyNumberFormat="1" applyFont="1" applyFill="1" applyBorder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70" fontId="6" fillId="0" borderId="10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justify" vertical="center" wrapText="1"/>
    </xf>
    <xf numFmtId="7" fontId="10" fillId="0" borderId="0" xfId="13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23" fillId="0" borderId="0" xfId="0" applyFont="1"/>
    <xf numFmtId="0" fontId="6" fillId="0" borderId="3" xfId="0" applyFont="1" applyBorder="1" applyAlignment="1">
      <alignment horizontal="center" vertical="center" wrapText="1"/>
    </xf>
    <xf numFmtId="0" fontId="17" fillId="2" borderId="3" xfId="32" applyFont="1" applyFill="1" applyBorder="1" applyAlignment="1">
      <alignment vertical="center"/>
    </xf>
    <xf numFmtId="0" fontId="16" fillId="2" borderId="3" xfId="33" quotePrefix="1" applyFill="1" applyBorder="1" applyAlignment="1">
      <alignment horizontal="center" vertical="center"/>
    </xf>
    <xf numFmtId="2" fontId="5" fillId="0" borderId="0" xfId="0" applyNumberFormat="1" applyFont="1"/>
    <xf numFmtId="0" fontId="0" fillId="0" borderId="3" xfId="0" applyBorder="1"/>
    <xf numFmtId="2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44" fontId="12" fillId="0" borderId="0" xfId="13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4" fontId="0" fillId="0" borderId="0" xfId="0" applyNumberFormat="1"/>
    <xf numFmtId="3" fontId="5" fillId="0" borderId="0" xfId="0" applyNumberFormat="1" applyFont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 wrapText="1"/>
    </xf>
    <xf numFmtId="4" fontId="5" fillId="0" borderId="0" xfId="0" applyNumberFormat="1" applyFont="1"/>
    <xf numFmtId="0" fontId="5" fillId="0" borderId="3" xfId="0" applyFont="1" applyBorder="1"/>
    <xf numFmtId="173" fontId="6" fillId="0" borderId="0" xfId="0" applyNumberFormat="1" applyFont="1" applyAlignment="1">
      <alignment horizontal="center" vertical="center"/>
    </xf>
    <xf numFmtId="169" fontId="10" fillId="0" borderId="0" xfId="4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4" fontId="5" fillId="0" borderId="3" xfId="0" applyNumberFormat="1" applyFont="1" applyBorder="1"/>
    <xf numFmtId="0" fontId="24" fillId="0" borderId="0" xfId="0" applyFont="1"/>
    <xf numFmtId="0" fontId="25" fillId="0" borderId="19" xfId="0" applyFont="1" applyBorder="1" applyAlignment="1">
      <alignment horizontal="right"/>
    </xf>
    <xf numFmtId="170" fontId="25" fillId="0" borderId="17" xfId="0" applyNumberFormat="1" applyFont="1" applyBorder="1"/>
    <xf numFmtId="170" fontId="25" fillId="0" borderId="10" xfId="0" applyNumberFormat="1" applyFont="1" applyBorder="1"/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22" fillId="0" borderId="0" xfId="0" applyFont="1" applyAlignment="1">
      <alignment horizontal="justify" vertical="center" wrapText="1"/>
    </xf>
    <xf numFmtId="170" fontId="21" fillId="0" borderId="0" xfId="13" applyNumberFormat="1" applyFont="1" applyFill="1" applyBorder="1" applyAlignment="1">
      <alignment horizontal="center" vertical="center" wrapText="1"/>
    </xf>
    <xf numFmtId="171" fontId="0" fillId="0" borderId="0" xfId="0" applyNumberFormat="1" applyAlignment="1">
      <alignment horizontal="center" vertical="center"/>
    </xf>
    <xf numFmtId="4" fontId="12" fillId="0" borderId="0" xfId="0" applyNumberFormat="1" applyFont="1" applyAlignment="1">
      <alignment vertical="center" wrapText="1"/>
    </xf>
    <xf numFmtId="0" fontId="24" fillId="0" borderId="3" xfId="0" applyFont="1" applyBorder="1" applyAlignment="1">
      <alignment horizontal="center"/>
    </xf>
    <xf numFmtId="9" fontId="11" fillId="0" borderId="3" xfId="41" applyFont="1" applyFill="1" applyBorder="1" applyAlignment="1">
      <alignment horizontal="center" vertical="center" wrapText="1"/>
    </xf>
    <xf numFmtId="4" fontId="6" fillId="0" borderId="18" xfId="0" applyNumberFormat="1" applyFont="1" applyBorder="1"/>
    <xf numFmtId="0" fontId="6" fillId="0" borderId="9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170" fontId="5" fillId="0" borderId="17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/>
    </xf>
    <xf numFmtId="0" fontId="24" fillId="0" borderId="3" xfId="0" applyFont="1" applyBorder="1"/>
    <xf numFmtId="0" fontId="11" fillId="0" borderId="3" xfId="0" applyFont="1" applyBorder="1" applyAlignment="1">
      <alignment horizontal="center" vertical="center" wrapText="1"/>
    </xf>
    <xf numFmtId="4" fontId="24" fillId="0" borderId="3" xfId="0" applyNumberFormat="1" applyFont="1" applyBorder="1"/>
    <xf numFmtId="0" fontId="6" fillId="0" borderId="17" xfId="0" applyFont="1" applyBorder="1" applyAlignment="1">
      <alignment horizontal="center"/>
    </xf>
    <xf numFmtId="0" fontId="6" fillId="0" borderId="0" xfId="0" applyFont="1"/>
    <xf numFmtId="0" fontId="6" fillId="0" borderId="17" xfId="0" applyFont="1" applyBorder="1" applyAlignment="1">
      <alignment vertical="center"/>
    </xf>
    <xf numFmtId="0" fontId="6" fillId="3" borderId="21" xfId="0" applyFont="1" applyFill="1" applyBorder="1"/>
    <xf numFmtId="0" fontId="6" fillId="0" borderId="19" xfId="0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6" fillId="0" borderId="4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6" fillId="3" borderId="19" xfId="0" applyFont="1" applyFill="1" applyBorder="1" applyAlignment="1">
      <alignment vertical="center"/>
    </xf>
    <xf numFmtId="0" fontId="27" fillId="0" borderId="3" xfId="0" applyFont="1" applyBorder="1" applyAlignment="1">
      <alignment vertical="center"/>
    </xf>
    <xf numFmtId="3" fontId="5" fillId="0" borderId="36" xfId="0" applyNumberFormat="1" applyFont="1" applyBorder="1" applyAlignment="1">
      <alignment horizontal="right"/>
    </xf>
    <xf numFmtId="3" fontId="5" fillId="0" borderId="36" xfId="0" applyNumberFormat="1" applyFont="1" applyBorder="1" applyAlignment="1">
      <alignment horizontal="right" vertical="center"/>
    </xf>
    <xf numFmtId="3" fontId="5" fillId="0" borderId="42" xfId="0" applyNumberFormat="1" applyFont="1" applyBorder="1" applyAlignment="1">
      <alignment horizontal="right" vertical="center"/>
    </xf>
    <xf numFmtId="173" fontId="6" fillId="0" borderId="41" xfId="0" applyNumberFormat="1" applyFont="1" applyBorder="1" applyAlignment="1">
      <alignment horizontal="center" vertical="center"/>
    </xf>
    <xf numFmtId="3" fontId="6" fillId="0" borderId="4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3" fontId="6" fillId="0" borderId="9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/>
    </xf>
    <xf numFmtId="3" fontId="5" fillId="0" borderId="43" xfId="43" applyNumberFormat="1" applyFont="1" applyBorder="1"/>
    <xf numFmtId="3" fontId="6" fillId="0" borderId="37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170" fontId="6" fillId="0" borderId="0" xfId="13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170" fontId="10" fillId="0" borderId="7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170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44" fontId="5" fillId="0" borderId="17" xfId="13" applyFont="1" applyBorder="1" applyAlignment="1">
      <alignment vertical="center"/>
    </xf>
    <xf numFmtId="44" fontId="5" fillId="0" borderId="10" xfId="13" applyFont="1" applyBorder="1" applyAlignment="1">
      <alignment vertic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4" fontId="0" fillId="0" borderId="3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0" fontId="6" fillId="0" borderId="0" xfId="0" applyFont="1" applyAlignment="1">
      <alignment horizontal="justify" vertical="center" wrapText="1"/>
    </xf>
    <xf numFmtId="9" fontId="11" fillId="0" borderId="0" xfId="41" applyFont="1" applyFill="1" applyBorder="1" applyAlignment="1">
      <alignment horizontal="center" vertical="center" wrapText="1"/>
    </xf>
    <xf numFmtId="170" fontId="11" fillId="0" borderId="0" xfId="13" applyNumberFormat="1" applyFont="1" applyFill="1" applyBorder="1" applyAlignment="1">
      <alignment horizontal="center" vertical="center" wrapText="1"/>
    </xf>
    <xf numFmtId="171" fontId="5" fillId="0" borderId="0" xfId="0" applyNumberFormat="1" applyFont="1" applyAlignment="1">
      <alignment horizontal="center" vertical="center"/>
    </xf>
    <xf numFmtId="0" fontId="5" fillId="0" borderId="17" xfId="0" applyFont="1" applyBorder="1" applyAlignment="1">
      <alignment horizontal="center"/>
    </xf>
    <xf numFmtId="9" fontId="5" fillId="0" borderId="17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70" fontId="5" fillId="0" borderId="0" xfId="0" applyNumberFormat="1" applyFont="1" applyAlignment="1">
      <alignment horizontal="center" vertical="center"/>
    </xf>
    <xf numFmtId="170" fontId="5" fillId="0" borderId="12" xfId="0" applyNumberFormat="1" applyFont="1" applyBorder="1" applyAlignment="1">
      <alignment horizontal="center" vertical="center"/>
    </xf>
    <xf numFmtId="170" fontId="5" fillId="0" borderId="13" xfId="0" applyNumberFormat="1" applyFont="1" applyBorder="1" applyAlignment="1">
      <alignment horizontal="center" vertical="center"/>
    </xf>
    <xf numFmtId="170" fontId="5" fillId="0" borderId="3" xfId="0" applyNumberFormat="1" applyFont="1" applyBorder="1" applyAlignment="1">
      <alignment horizontal="center" vertical="center"/>
    </xf>
    <xf numFmtId="170" fontId="5" fillId="0" borderId="7" xfId="0" applyNumberFormat="1" applyFont="1" applyBorder="1" applyAlignment="1">
      <alignment horizontal="center" vertical="center"/>
    </xf>
    <xf numFmtId="170" fontId="5" fillId="0" borderId="4" xfId="0" applyNumberFormat="1" applyFont="1" applyBorder="1" applyAlignment="1">
      <alignment horizontal="center" vertical="center"/>
    </xf>
    <xf numFmtId="170" fontId="5" fillId="0" borderId="3" xfId="0" applyNumberFormat="1" applyFont="1" applyBorder="1"/>
    <xf numFmtId="0" fontId="5" fillId="0" borderId="2" xfId="0" applyFont="1" applyBorder="1"/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6" xfId="0" applyFont="1" applyBorder="1"/>
    <xf numFmtId="10" fontId="5" fillId="0" borderId="0" xfId="41" applyNumberFormat="1" applyFont="1"/>
    <xf numFmtId="3" fontId="5" fillId="0" borderId="2" xfId="43" applyNumberFormat="1" applyFont="1" applyBorder="1"/>
    <xf numFmtId="3" fontId="5" fillId="0" borderId="2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10" fillId="26" borderId="15" xfId="0" applyFont="1" applyFill="1" applyBorder="1" applyAlignment="1">
      <alignment horizontal="center" vertical="center" wrapText="1"/>
    </xf>
    <xf numFmtId="0" fontId="10" fillId="26" borderId="16" xfId="0" applyFont="1" applyFill="1" applyBorder="1" applyAlignment="1">
      <alignment horizontal="center" vertical="center" wrapText="1"/>
    </xf>
    <xf numFmtId="170" fontId="11" fillId="0" borderId="3" xfId="0" applyNumberFormat="1" applyFont="1" applyBorder="1" applyAlignment="1">
      <alignment horizontal="center" vertical="center"/>
    </xf>
    <xf numFmtId="170" fontId="11" fillId="0" borderId="3" xfId="0" applyNumberFormat="1" applyFont="1" applyBorder="1" applyAlignment="1">
      <alignment horizontal="center" vertical="center" wrapText="1"/>
    </xf>
    <xf numFmtId="170" fontId="11" fillId="0" borderId="15" xfId="0" applyNumberFormat="1" applyFont="1" applyBorder="1" applyAlignment="1">
      <alignment horizontal="center" vertical="center" wrapText="1"/>
    </xf>
    <xf numFmtId="170" fontId="10" fillId="0" borderId="16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21" xfId="0" applyFont="1" applyBorder="1"/>
    <xf numFmtId="0" fontId="6" fillId="0" borderId="27" xfId="0" applyFont="1" applyBorder="1"/>
    <xf numFmtId="170" fontId="6" fillId="0" borderId="19" xfId="0" applyNumberFormat="1" applyFont="1" applyBorder="1" applyAlignment="1">
      <alignment horizontal="center" vertical="center"/>
    </xf>
    <xf numFmtId="170" fontId="6" fillId="0" borderId="21" xfId="0" applyNumberFormat="1" applyFont="1" applyBorder="1" applyAlignment="1">
      <alignment horizontal="center" vertical="center"/>
    </xf>
    <xf numFmtId="170" fontId="6" fillId="0" borderId="18" xfId="0" applyNumberFormat="1" applyFont="1" applyBorder="1"/>
    <xf numFmtId="170" fontId="5" fillId="0" borderId="9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166" fontId="5" fillId="0" borderId="3" xfId="31" applyNumberFormat="1" applyFont="1" applyBorder="1" applyAlignment="1">
      <alignment horizontal="center" vertical="center"/>
    </xf>
    <xf numFmtId="0" fontId="6" fillId="0" borderId="12" xfId="31" applyFont="1" applyBorder="1" applyAlignment="1">
      <alignment horizontal="center" vertical="center" wrapText="1"/>
    </xf>
    <xf numFmtId="0" fontId="6" fillId="0" borderId="13" xfId="31" applyFont="1" applyBorder="1" applyAlignment="1">
      <alignment horizontal="center" vertical="center" wrapText="1"/>
    </xf>
    <xf numFmtId="166" fontId="5" fillId="0" borderId="4" xfId="31" applyNumberFormat="1" applyFont="1" applyBorder="1" applyAlignment="1">
      <alignment horizontal="center" vertical="center"/>
    </xf>
    <xf numFmtId="166" fontId="5" fillId="0" borderId="9" xfId="31" applyNumberFormat="1" applyFont="1" applyBorder="1" applyAlignment="1">
      <alignment horizontal="center" vertical="center"/>
    </xf>
    <xf numFmtId="4" fontId="6" fillId="0" borderId="21" xfId="0" applyNumberFormat="1" applyFont="1" applyBorder="1"/>
    <xf numFmtId="4" fontId="6" fillId="0" borderId="25" xfId="0" applyNumberFormat="1" applyFont="1" applyBorder="1"/>
    <xf numFmtId="3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 vertical="center"/>
    </xf>
    <xf numFmtId="170" fontId="5" fillId="0" borderId="12" xfId="0" applyNumberFormat="1" applyFont="1" applyBorder="1" applyAlignment="1">
      <alignment vertical="center"/>
    </xf>
    <xf numFmtId="170" fontId="5" fillId="0" borderId="13" xfId="0" applyNumberFormat="1" applyFont="1" applyBorder="1" applyAlignment="1">
      <alignment vertical="center"/>
    </xf>
    <xf numFmtId="170" fontId="5" fillId="0" borderId="3" xfId="0" applyNumberFormat="1" applyFont="1" applyBorder="1" applyAlignment="1">
      <alignment vertical="center"/>
    </xf>
    <xf numFmtId="170" fontId="5" fillId="0" borderId="7" xfId="0" applyNumberFormat="1" applyFont="1" applyBorder="1" applyAlignment="1">
      <alignment vertical="center"/>
    </xf>
    <xf numFmtId="170" fontId="5" fillId="0" borderId="4" xfId="0" applyNumberFormat="1" applyFont="1" applyBorder="1" applyAlignment="1">
      <alignment vertical="center"/>
    </xf>
    <xf numFmtId="170" fontId="5" fillId="0" borderId="9" xfId="0" applyNumberFormat="1" applyFont="1" applyBorder="1" applyAlignment="1">
      <alignment vertical="center"/>
    </xf>
    <xf numFmtId="170" fontId="5" fillId="0" borderId="1" xfId="0" applyNumberFormat="1" applyFont="1" applyBorder="1" applyAlignment="1">
      <alignment vertical="center"/>
    </xf>
    <xf numFmtId="170" fontId="5" fillId="0" borderId="2" xfId="0" applyNumberFormat="1" applyFont="1" applyBorder="1" applyAlignment="1">
      <alignment vertical="center"/>
    </xf>
    <xf numFmtId="170" fontId="5" fillId="0" borderId="8" xfId="0" applyNumberFormat="1" applyFont="1" applyBorder="1" applyAlignment="1">
      <alignment vertical="center"/>
    </xf>
    <xf numFmtId="0" fontId="6" fillId="0" borderId="21" xfId="0" applyFont="1" applyBorder="1" applyAlignment="1">
      <alignment horizontal="center" vertical="center" wrapText="1"/>
    </xf>
    <xf numFmtId="0" fontId="5" fillId="0" borderId="56" xfId="0" applyFont="1" applyBorder="1" applyAlignment="1">
      <alignment vertical="center" wrapText="1"/>
    </xf>
    <xf numFmtId="0" fontId="5" fillId="0" borderId="58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0" fontId="5" fillId="0" borderId="8" xfId="0" applyFont="1" applyBorder="1"/>
    <xf numFmtId="3" fontId="5" fillId="0" borderId="9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vertical="center" wrapText="1"/>
    </xf>
    <xf numFmtId="3" fontId="6" fillId="0" borderId="17" xfId="0" applyNumberFormat="1" applyFont="1" applyBorder="1"/>
    <xf numFmtId="170" fontId="6" fillId="0" borderId="17" xfId="0" applyNumberFormat="1" applyFont="1" applyBorder="1"/>
    <xf numFmtId="170" fontId="6" fillId="0" borderId="10" xfId="0" applyNumberFormat="1" applyFont="1" applyBorder="1"/>
    <xf numFmtId="0" fontId="0" fillId="0" borderId="1" xfId="0" applyBorder="1"/>
    <xf numFmtId="0" fontId="0" fillId="0" borderId="2" xfId="0" applyBorder="1"/>
    <xf numFmtId="0" fontId="0" fillId="0" borderId="8" xfId="0" applyBorder="1"/>
    <xf numFmtId="170" fontId="5" fillId="0" borderId="21" xfId="0" applyNumberFormat="1" applyFont="1" applyBorder="1" applyAlignment="1">
      <alignment horizontal="left"/>
    </xf>
    <xf numFmtId="170" fontId="5" fillId="0" borderId="17" xfId="0" applyNumberFormat="1" applyFont="1" applyBorder="1"/>
    <xf numFmtId="170" fontId="5" fillId="0" borderId="10" xfId="0" applyNumberFormat="1" applyFont="1" applyBorder="1"/>
    <xf numFmtId="170" fontId="5" fillId="0" borderId="12" xfId="0" applyNumberFormat="1" applyFont="1" applyBorder="1" applyAlignment="1">
      <alignment horizontal="right" vertical="center"/>
    </xf>
    <xf numFmtId="170" fontId="5" fillId="0" borderId="13" xfId="0" applyNumberFormat="1" applyFont="1" applyBorder="1" applyAlignment="1">
      <alignment horizontal="right" vertical="center"/>
    </xf>
    <xf numFmtId="170" fontId="5" fillId="0" borderId="3" xfId="0" applyNumberFormat="1" applyFont="1" applyBorder="1" applyAlignment="1">
      <alignment horizontal="right"/>
    </xf>
    <xf numFmtId="170" fontId="5" fillId="0" borderId="7" xfId="0" applyNumberFormat="1" applyFont="1" applyBorder="1" applyAlignment="1">
      <alignment horizontal="right" vertical="center"/>
    </xf>
    <xf numFmtId="170" fontId="5" fillId="0" borderId="3" xfId="0" applyNumberFormat="1" applyFont="1" applyBorder="1" applyAlignment="1">
      <alignment horizontal="right" vertical="center"/>
    </xf>
    <xf numFmtId="170" fontId="5" fillId="0" borderId="7" xfId="0" applyNumberFormat="1" applyFont="1" applyBorder="1" applyAlignment="1">
      <alignment horizontal="right"/>
    </xf>
    <xf numFmtId="170" fontId="5" fillId="0" borderId="4" xfId="0" applyNumberFormat="1" applyFont="1" applyBorder="1" applyAlignment="1">
      <alignment horizontal="right"/>
    </xf>
    <xf numFmtId="170" fontId="5" fillId="0" borderId="9" xfId="0" applyNumberFormat="1" applyFont="1" applyBorder="1" applyAlignment="1">
      <alignment horizontal="right"/>
    </xf>
    <xf numFmtId="170" fontId="5" fillId="0" borderId="5" xfId="0" applyNumberFormat="1" applyFont="1" applyBorder="1"/>
    <xf numFmtId="0" fontId="5" fillId="0" borderId="1" xfId="0" applyFont="1" applyBorder="1"/>
    <xf numFmtId="170" fontId="5" fillId="0" borderId="12" xfId="0" applyNumberFormat="1" applyFont="1" applyBorder="1"/>
    <xf numFmtId="170" fontId="5" fillId="0" borderId="13" xfId="0" applyNumberFormat="1" applyFont="1" applyBorder="1"/>
    <xf numFmtId="170" fontId="5" fillId="0" borderId="11" xfId="0" applyNumberFormat="1" applyFont="1" applyBorder="1"/>
    <xf numFmtId="170" fontId="5" fillId="0" borderId="7" xfId="0" applyNumberFormat="1" applyFont="1" applyBorder="1"/>
    <xf numFmtId="170" fontId="5" fillId="0" borderId="4" xfId="0" applyNumberFormat="1" applyFont="1" applyBorder="1"/>
    <xf numFmtId="170" fontId="5" fillId="0" borderId="9" xfId="0" applyNumberFormat="1" applyFont="1" applyBorder="1"/>
    <xf numFmtId="170" fontId="6" fillId="0" borderId="10" xfId="0" applyNumberFormat="1" applyFont="1" applyBorder="1" applyAlignment="1">
      <alignment horizontal="right"/>
    </xf>
    <xf numFmtId="0" fontId="6" fillId="0" borderId="21" xfId="0" applyFont="1" applyBorder="1" applyAlignment="1">
      <alignment horizontal="left" vertical="center"/>
    </xf>
    <xf numFmtId="0" fontId="6" fillId="0" borderId="25" xfId="0" applyFont="1" applyBorder="1" applyAlignment="1">
      <alignment horizontal="center" wrapText="1"/>
    </xf>
    <xf numFmtId="170" fontId="0" fillId="0" borderId="13" xfId="0" applyNumberFormat="1" applyBorder="1"/>
    <xf numFmtId="170" fontId="0" fillId="0" borderId="7" xfId="0" applyNumberFormat="1" applyBorder="1"/>
    <xf numFmtId="170" fontId="0" fillId="0" borderId="9" xfId="0" applyNumberFormat="1" applyBorder="1"/>
    <xf numFmtId="0" fontId="0" fillId="0" borderId="21" xfId="0" applyBorder="1"/>
    <xf numFmtId="170" fontId="0" fillId="0" borderId="25" xfId="0" applyNumberFormat="1" applyBorder="1"/>
    <xf numFmtId="170" fontId="0" fillId="0" borderId="0" xfId="0" applyNumberFormat="1"/>
    <xf numFmtId="0" fontId="0" fillId="0" borderId="19" xfId="0" applyBorder="1"/>
    <xf numFmtId="0" fontId="28" fillId="0" borderId="21" xfId="0" applyFont="1" applyBorder="1" applyAlignment="1">
      <alignment vertical="center"/>
    </xf>
    <xf numFmtId="0" fontId="28" fillId="0" borderId="27" xfId="0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27" fillId="0" borderId="12" xfId="0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170" fontId="27" fillId="0" borderId="12" xfId="0" applyNumberFormat="1" applyFont="1" applyBorder="1" applyAlignment="1">
      <alignment vertical="center"/>
    </xf>
    <xf numFmtId="170" fontId="27" fillId="0" borderId="13" xfId="0" applyNumberFormat="1" applyFont="1" applyBorder="1" applyAlignment="1">
      <alignment vertical="center"/>
    </xf>
    <xf numFmtId="170" fontId="27" fillId="0" borderId="7" xfId="0" applyNumberFormat="1" applyFont="1" applyBorder="1" applyAlignment="1">
      <alignment vertical="center"/>
    </xf>
    <xf numFmtId="170" fontId="27" fillId="0" borderId="3" xfId="0" applyNumberFormat="1" applyFont="1" applyBorder="1" applyAlignment="1">
      <alignment vertical="center"/>
    </xf>
    <xf numFmtId="170" fontId="27" fillId="0" borderId="4" xfId="0" applyNumberFormat="1" applyFont="1" applyBorder="1" applyAlignment="1">
      <alignment vertical="center"/>
    </xf>
    <xf numFmtId="170" fontId="27" fillId="0" borderId="9" xfId="0" applyNumberFormat="1" applyFont="1" applyBorder="1" applyAlignment="1">
      <alignment vertical="center"/>
    </xf>
    <xf numFmtId="170" fontId="28" fillId="0" borderId="27" xfId="0" applyNumberFormat="1" applyFont="1" applyBorder="1" applyAlignment="1">
      <alignment vertical="center"/>
    </xf>
    <xf numFmtId="170" fontId="28" fillId="0" borderId="25" xfId="0" applyNumberFormat="1" applyFont="1" applyBorder="1" applyAlignment="1">
      <alignment vertical="center"/>
    </xf>
    <xf numFmtId="0" fontId="5" fillId="0" borderId="0" xfId="31" applyFont="1" applyAlignment="1">
      <alignment horizontal="center" vertical="center"/>
    </xf>
    <xf numFmtId="0" fontId="5" fillId="0" borderId="3" xfId="31" applyFont="1" applyBorder="1" applyAlignment="1">
      <alignment horizontal="center" vertical="center" wrapText="1"/>
    </xf>
    <xf numFmtId="0" fontId="5" fillId="0" borderId="0" xfId="31" applyFont="1" applyAlignment="1">
      <alignment horizontal="center" vertical="center" wrapText="1"/>
    </xf>
    <xf numFmtId="0" fontId="5" fillId="0" borderId="0" xfId="31" applyFont="1" applyAlignment="1">
      <alignment horizontal="left" vertical="center"/>
    </xf>
    <xf numFmtId="166" fontId="5" fillId="0" borderId="0" xfId="31" applyNumberFormat="1" applyFont="1" applyAlignment="1">
      <alignment horizontal="center" vertical="center"/>
    </xf>
    <xf numFmtId="0" fontId="6" fillId="0" borderId="4" xfId="31" applyFont="1" applyBorder="1" applyAlignment="1">
      <alignment horizontal="center" vertical="center" wrapText="1"/>
    </xf>
    <xf numFmtId="4" fontId="6" fillId="0" borderId="4" xfId="31" applyNumberFormat="1" applyFont="1" applyBorder="1" applyAlignment="1">
      <alignment horizontal="center" vertical="center" wrapText="1"/>
    </xf>
    <xf numFmtId="4" fontId="6" fillId="0" borderId="4" xfId="31" applyNumberFormat="1" applyFont="1" applyBorder="1" applyAlignment="1">
      <alignment horizontal="center" vertical="center"/>
    </xf>
    <xf numFmtId="4" fontId="5" fillId="0" borderId="0" xfId="31" applyNumberFormat="1" applyFont="1" applyAlignment="1">
      <alignment vertical="center"/>
    </xf>
    <xf numFmtId="4" fontId="5" fillId="0" borderId="0" xfId="31" applyNumberFormat="1" applyFont="1" applyAlignment="1">
      <alignment horizontal="center" vertical="center"/>
    </xf>
    <xf numFmtId="170" fontId="5" fillId="0" borderId="3" xfId="31" applyNumberFormat="1" applyFont="1" applyBorder="1" applyAlignment="1">
      <alignment vertical="center"/>
    </xf>
    <xf numFmtId="170" fontId="5" fillId="0" borderId="5" xfId="31" applyNumberFormat="1" applyFont="1" applyBorder="1" applyAlignment="1">
      <alignment vertical="center"/>
    </xf>
    <xf numFmtId="4" fontId="6" fillId="0" borderId="8" xfId="31" applyNumberFormat="1" applyFont="1" applyBorder="1" applyAlignment="1">
      <alignment horizontal="center" vertical="center" wrapText="1"/>
    </xf>
    <xf numFmtId="170" fontId="5" fillId="0" borderId="2" xfId="31" applyNumberFormat="1" applyFont="1" applyBorder="1" applyAlignment="1">
      <alignment vertical="center"/>
    </xf>
    <xf numFmtId="170" fontId="5" fillId="0" borderId="8" xfId="31" applyNumberFormat="1" applyFont="1" applyBorder="1" applyAlignment="1">
      <alignment vertical="center"/>
    </xf>
    <xf numFmtId="170" fontId="5" fillId="0" borderId="4" xfId="31" applyNumberFormat="1" applyFont="1" applyBorder="1" applyAlignment="1">
      <alignment vertical="center"/>
    </xf>
    <xf numFmtId="0" fontId="6" fillId="0" borderId="8" xfId="31" applyFont="1" applyBorder="1" applyAlignment="1">
      <alignment horizontal="center" vertical="center" wrapText="1"/>
    </xf>
    <xf numFmtId="170" fontId="5" fillId="0" borderId="1" xfId="31" applyNumberFormat="1" applyFont="1" applyBorder="1" applyAlignment="1">
      <alignment vertical="center"/>
    </xf>
    <xf numFmtId="170" fontId="5" fillId="0" borderId="12" xfId="31" applyNumberFormat="1" applyFont="1" applyBorder="1" applyAlignment="1">
      <alignment vertical="center"/>
    </xf>
    <xf numFmtId="170" fontId="5" fillId="0" borderId="26" xfId="31" applyNumberFormat="1" applyFont="1" applyBorder="1" applyAlignment="1">
      <alignment vertical="center"/>
    </xf>
    <xf numFmtId="170" fontId="5" fillId="0" borderId="27" xfId="31" applyNumberFormat="1" applyFont="1" applyBorder="1" applyAlignment="1">
      <alignment vertical="center"/>
    </xf>
    <xf numFmtId="4" fontId="5" fillId="0" borderId="25" xfId="31" applyNumberFormat="1" applyFont="1" applyBorder="1" applyAlignment="1">
      <alignment vertical="center"/>
    </xf>
    <xf numFmtId="170" fontId="5" fillId="0" borderId="21" xfId="31" applyNumberFormat="1" applyFont="1" applyBorder="1" applyAlignment="1">
      <alignment vertical="center"/>
    </xf>
    <xf numFmtId="170" fontId="6" fillId="0" borderId="12" xfId="31" applyNumberFormat="1" applyFont="1" applyBorder="1" applyAlignment="1">
      <alignment vertical="center"/>
    </xf>
    <xf numFmtId="170" fontId="6" fillId="0" borderId="13" xfId="31" applyNumberFormat="1" applyFont="1" applyBorder="1" applyAlignment="1">
      <alignment vertical="center"/>
    </xf>
    <xf numFmtId="170" fontId="6" fillId="0" borderId="5" xfId="31" applyNumberFormat="1" applyFont="1" applyBorder="1" applyAlignment="1">
      <alignment vertical="center"/>
    </xf>
    <xf numFmtId="170" fontId="6" fillId="0" borderId="7" xfId="31" applyNumberFormat="1" applyFont="1" applyBorder="1" applyAlignment="1">
      <alignment vertical="center"/>
    </xf>
    <xf numFmtId="170" fontId="6" fillId="0" borderId="26" xfId="31" applyNumberFormat="1" applyFont="1" applyBorder="1" applyAlignment="1">
      <alignment vertical="center"/>
    </xf>
    <xf numFmtId="170" fontId="6" fillId="0" borderId="9" xfId="31" applyNumberFormat="1" applyFont="1" applyBorder="1" applyAlignment="1">
      <alignment vertical="center"/>
    </xf>
    <xf numFmtId="170" fontId="6" fillId="0" borderId="27" xfId="31" applyNumberFormat="1" applyFont="1" applyBorder="1" applyAlignment="1">
      <alignment vertical="center"/>
    </xf>
    <xf numFmtId="170" fontId="6" fillId="0" borderId="25" xfId="31" applyNumberFormat="1" applyFont="1" applyBorder="1" applyAlignment="1">
      <alignment vertical="center"/>
    </xf>
    <xf numFmtId="0" fontId="6" fillId="0" borderId="21" xfId="31" applyFont="1" applyBorder="1" applyAlignment="1">
      <alignment horizontal="center" vertical="center"/>
    </xf>
    <xf numFmtId="164" fontId="5" fillId="0" borderId="25" xfId="31" applyNumberFormat="1" applyFont="1" applyBorder="1" applyAlignment="1">
      <alignment horizontal="center" vertical="center"/>
    </xf>
    <xf numFmtId="164" fontId="5" fillId="0" borderId="62" xfId="31" applyNumberFormat="1" applyFont="1" applyBorder="1" applyAlignment="1">
      <alignment horizontal="center" vertical="center"/>
    </xf>
    <xf numFmtId="164" fontId="5" fillId="0" borderId="63" xfId="31" applyNumberFormat="1" applyFont="1" applyBorder="1" applyAlignment="1">
      <alignment horizontal="center" vertical="center"/>
    </xf>
    <xf numFmtId="164" fontId="5" fillId="0" borderId="43" xfId="31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4" fillId="0" borderId="12" xfId="0" applyFont="1" applyBorder="1"/>
    <xf numFmtId="170" fontId="5" fillId="0" borderId="34" xfId="0" applyNumberFormat="1" applyFont="1" applyBorder="1"/>
    <xf numFmtId="0" fontId="24" fillId="0" borderId="2" xfId="0" applyFont="1" applyBorder="1" applyAlignment="1">
      <alignment horizontal="center"/>
    </xf>
    <xf numFmtId="170" fontId="5" fillId="0" borderId="64" xfId="0" applyNumberFormat="1" applyFont="1" applyBorder="1"/>
    <xf numFmtId="0" fontId="24" fillId="0" borderId="8" xfId="0" applyFont="1" applyBorder="1" applyAlignment="1">
      <alignment horizontal="center"/>
    </xf>
    <xf numFmtId="0" fontId="24" fillId="0" borderId="4" xfId="0" applyFont="1" applyBorder="1"/>
    <xf numFmtId="170" fontId="5" fillId="0" borderId="65" xfId="0" applyNumberFormat="1" applyFont="1" applyBorder="1"/>
    <xf numFmtId="4" fontId="28" fillId="0" borderId="40" xfId="0" applyNumberFormat="1" applyFont="1" applyBorder="1" applyAlignment="1">
      <alignment horizontal="center" vertical="center" wrapText="1"/>
    </xf>
    <xf numFmtId="4" fontId="28" fillId="0" borderId="61" xfId="0" applyNumberFormat="1" applyFont="1" applyBorder="1" applyAlignment="1">
      <alignment horizontal="center" vertical="center" wrapText="1"/>
    </xf>
    <xf numFmtId="0" fontId="27" fillId="0" borderId="8" xfId="0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0" fillId="0" borderId="2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49" fontId="11" fillId="0" borderId="0" xfId="0" applyNumberFormat="1" applyFont="1" applyAlignment="1">
      <alignment horizontal="justify" vertical="center" wrapText="1"/>
    </xf>
    <xf numFmtId="4" fontId="11" fillId="0" borderId="0" xfId="0" applyNumberFormat="1" applyFont="1" applyAlignment="1">
      <alignment horizontal="center" vertical="center"/>
    </xf>
    <xf numFmtId="172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78" applyFont="1" applyAlignment="1">
      <alignment horizontal="justify" vertical="center" wrapText="1"/>
    </xf>
    <xf numFmtId="44" fontId="11" fillId="0" borderId="0" xfId="13" applyFont="1" applyFill="1" applyBorder="1" applyAlignment="1">
      <alignment horizontal="center" vertical="center"/>
    </xf>
    <xf numFmtId="44" fontId="11" fillId="0" borderId="0" xfId="0" applyNumberFormat="1" applyFont="1" applyAlignment="1">
      <alignment vertical="center"/>
    </xf>
    <xf numFmtId="9" fontId="11" fillId="0" borderId="0" xfId="0" applyNumberFormat="1" applyFont="1" applyAlignment="1">
      <alignment vertical="center"/>
    </xf>
    <xf numFmtId="44" fontId="11" fillId="0" borderId="0" xfId="13" applyFont="1" applyFill="1" applyBorder="1" applyAlignment="1">
      <alignment vertical="center"/>
    </xf>
    <xf numFmtId="0" fontId="10" fillId="0" borderId="0" xfId="78" applyFont="1" applyAlignment="1">
      <alignment horizontal="left" vertical="center" wrapText="1"/>
    </xf>
    <xf numFmtId="44" fontId="10" fillId="0" borderId="0" xfId="13" applyFont="1" applyFill="1" applyBorder="1" applyAlignment="1">
      <alignment horizontal="center" vertical="center" wrapText="1"/>
    </xf>
    <xf numFmtId="44" fontId="5" fillId="0" borderId="0" xfId="0" applyNumberFormat="1" applyFont="1" applyAlignment="1">
      <alignment vertical="center"/>
    </xf>
    <xf numFmtId="0" fontId="9" fillId="0" borderId="0" xfId="0" applyFont="1" applyAlignment="1">
      <alignment horizontal="justify" vertical="center" wrapText="1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6" fillId="26" borderId="27" xfId="0" applyFont="1" applyFill="1" applyBorder="1" applyAlignment="1">
      <alignment horizontal="center" vertical="center" wrapText="1"/>
    </xf>
    <xf numFmtId="0" fontId="6" fillId="26" borderId="17" xfId="0" applyFont="1" applyFill="1" applyBorder="1" applyAlignment="1">
      <alignment horizontal="center" vertical="center"/>
    </xf>
    <xf numFmtId="0" fontId="6" fillId="26" borderId="10" xfId="0" applyFont="1" applyFill="1" applyBorder="1" applyAlignment="1">
      <alignment horizontal="center" vertical="center"/>
    </xf>
    <xf numFmtId="0" fontId="10" fillId="3" borderId="21" xfId="78" applyFont="1" applyFill="1" applyBorder="1" applyAlignment="1">
      <alignment horizontal="justify" vertical="center" wrapText="1"/>
    </xf>
    <xf numFmtId="44" fontId="11" fillId="0" borderId="15" xfId="13" applyFont="1" applyBorder="1" applyAlignment="1">
      <alignment vertical="center"/>
    </xf>
    <xf numFmtId="44" fontId="11" fillId="0" borderId="12" xfId="13" applyFont="1" applyBorder="1" applyAlignment="1">
      <alignment horizontal="center" vertical="center"/>
    </xf>
    <xf numFmtId="44" fontId="11" fillId="0" borderId="3" xfId="13" applyFont="1" applyBorder="1" applyAlignment="1">
      <alignment horizontal="center" vertical="center"/>
    </xf>
    <xf numFmtId="3" fontId="5" fillId="0" borderId="0" xfId="0" applyNumberFormat="1" applyFont="1"/>
    <xf numFmtId="3" fontId="5" fillId="0" borderId="1" xfId="43" applyNumberFormat="1" applyFont="1" applyBorder="1"/>
    <xf numFmtId="3" fontId="5" fillId="0" borderId="57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3" fontId="6" fillId="0" borderId="35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170" fontId="5" fillId="0" borderId="0" xfId="0" applyNumberFormat="1" applyFont="1"/>
    <xf numFmtId="0" fontId="5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170" fontId="11" fillId="0" borderId="3" xfId="41" applyNumberFormat="1" applyFont="1" applyFill="1" applyBorder="1" applyAlignment="1">
      <alignment horizontal="center" vertical="center" wrapText="1"/>
    </xf>
    <xf numFmtId="170" fontId="6" fillId="0" borderId="0" xfId="13" applyNumberFormat="1" applyFont="1" applyFill="1" applyBorder="1" applyAlignment="1">
      <alignment horizontal="center" vertical="center"/>
    </xf>
    <xf numFmtId="0" fontId="46" fillId="26" borderId="21" xfId="0" applyFont="1" applyFill="1" applyBorder="1" applyAlignment="1">
      <alignment horizontal="center" vertical="center"/>
    </xf>
    <xf numFmtId="0" fontId="46" fillId="26" borderId="27" xfId="0" applyFont="1" applyFill="1" applyBorder="1" applyAlignment="1">
      <alignment horizontal="center" vertical="center"/>
    </xf>
    <xf numFmtId="0" fontId="46" fillId="26" borderId="25" xfId="0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10" fillId="0" borderId="0" xfId="78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26" borderId="21" xfId="0" applyFont="1" applyFill="1" applyBorder="1" applyAlignment="1">
      <alignment horizontal="center" vertical="center"/>
    </xf>
    <xf numFmtId="0" fontId="10" fillId="26" borderId="27" xfId="0" applyFont="1" applyFill="1" applyBorder="1" applyAlignment="1">
      <alignment horizontal="center" vertical="center"/>
    </xf>
    <xf numFmtId="44" fontId="10" fillId="27" borderId="27" xfId="13" applyFont="1" applyFill="1" applyBorder="1" applyAlignment="1">
      <alignment horizontal="right" vertical="center"/>
    </xf>
    <xf numFmtId="44" fontId="10" fillId="27" borderId="25" xfId="13" applyFont="1" applyFill="1" applyBorder="1" applyAlignment="1">
      <alignment horizontal="right" vertical="center"/>
    </xf>
    <xf numFmtId="0" fontId="12" fillId="0" borderId="1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44" fontId="12" fillId="0" borderId="0" xfId="13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26" borderId="53" xfId="0" applyFont="1" applyFill="1" applyBorder="1" applyAlignment="1">
      <alignment horizontal="left" vertical="center" wrapText="1"/>
    </xf>
    <xf numFmtId="0" fontId="10" fillId="26" borderId="54" xfId="0" applyFont="1" applyFill="1" applyBorder="1" applyAlignment="1">
      <alignment horizontal="left" vertical="center" wrapText="1"/>
    </xf>
    <xf numFmtId="0" fontId="10" fillId="26" borderId="42" xfId="0" applyFont="1" applyFill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0" fontId="12" fillId="3" borderId="19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0" fillId="26" borderId="1" xfId="0" applyFont="1" applyFill="1" applyBorder="1" applyAlignment="1">
      <alignment horizontal="center" vertical="center" wrapText="1"/>
    </xf>
    <xf numFmtId="0" fontId="10" fillId="26" borderId="12" xfId="0" applyFont="1" applyFill="1" applyBorder="1" applyAlignment="1">
      <alignment horizontal="center" vertical="center" wrapText="1"/>
    </xf>
    <xf numFmtId="0" fontId="10" fillId="26" borderId="13" xfId="0" applyFont="1" applyFill="1" applyBorder="1" applyAlignment="1">
      <alignment horizontal="center" vertical="center" wrapText="1"/>
    </xf>
    <xf numFmtId="0" fontId="10" fillId="26" borderId="15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5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5" fillId="0" borderId="28" xfId="31" applyFont="1" applyBorder="1" applyAlignment="1">
      <alignment horizontal="left" vertical="center"/>
    </xf>
    <xf numFmtId="0" fontId="5" fillId="0" borderId="31" xfId="31" applyFont="1" applyBorder="1" applyAlignment="1">
      <alignment horizontal="left" vertical="center"/>
    </xf>
    <xf numFmtId="44" fontId="6" fillId="3" borderId="19" xfId="0" applyNumberFormat="1" applyFont="1" applyFill="1" applyBorder="1" applyAlignment="1">
      <alignment horizontal="center" vertical="center" wrapText="1"/>
    </xf>
    <xf numFmtId="44" fontId="6" fillId="3" borderId="17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3" borderId="19" xfId="0" applyNumberFormat="1" applyFont="1" applyFill="1" applyBorder="1" applyAlignment="1">
      <alignment horizontal="center" vertical="center"/>
    </xf>
    <xf numFmtId="2" fontId="6" fillId="3" borderId="17" xfId="0" applyNumberFormat="1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60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4" fontId="6" fillId="0" borderId="1" xfId="31" applyNumberFormat="1" applyFont="1" applyBorder="1" applyAlignment="1">
      <alignment horizontal="center" vertical="center" wrapText="1"/>
    </xf>
    <xf numFmtId="4" fontId="6" fillId="0" borderId="58" xfId="31" applyNumberFormat="1" applyFont="1" applyBorder="1" applyAlignment="1">
      <alignment horizontal="center" vertical="center" wrapText="1"/>
    </xf>
    <xf numFmtId="4" fontId="6" fillId="0" borderId="53" xfId="31" applyNumberFormat="1" applyFont="1" applyBorder="1" applyAlignment="1">
      <alignment horizontal="center" vertical="center" wrapText="1"/>
    </xf>
    <xf numFmtId="0" fontId="6" fillId="0" borderId="1" xfId="31" applyFont="1" applyBorder="1" applyAlignment="1">
      <alignment horizontal="center" vertical="center" wrapText="1"/>
    </xf>
    <xf numFmtId="0" fontId="6" fillId="0" borderId="12" xfId="31" applyFont="1" applyBorder="1" applyAlignment="1">
      <alignment horizontal="center" vertical="center" wrapText="1"/>
    </xf>
    <xf numFmtId="0" fontId="6" fillId="0" borderId="40" xfId="31" applyFont="1" applyBorder="1" applyAlignment="1">
      <alignment horizontal="center" vertical="center" wrapText="1"/>
    </xf>
    <xf numFmtId="0" fontId="6" fillId="0" borderId="61" xfId="31" applyFont="1" applyBorder="1" applyAlignment="1">
      <alignment horizontal="center" vertical="center" wrapText="1"/>
    </xf>
    <xf numFmtId="0" fontId="6" fillId="0" borderId="13" xfId="31" applyFont="1" applyBorder="1" applyAlignment="1">
      <alignment horizontal="center" vertical="center" wrapText="1"/>
    </xf>
    <xf numFmtId="0" fontId="6" fillId="0" borderId="9" xfId="31" applyFont="1" applyBorder="1" applyAlignment="1">
      <alignment horizontal="center" vertical="center" wrapText="1"/>
    </xf>
    <xf numFmtId="0" fontId="24" fillId="0" borderId="2" xfId="0" applyFont="1" applyBorder="1"/>
    <xf numFmtId="44" fontId="10" fillId="0" borderId="0" xfId="0" applyNumberFormat="1" applyFont="1" applyAlignment="1">
      <alignment vertical="center"/>
    </xf>
    <xf numFmtId="44" fontId="5" fillId="0" borderId="5" xfId="13" applyFont="1" applyBorder="1" applyAlignment="1">
      <alignment vertical="center"/>
    </xf>
    <xf numFmtId="9" fontId="5" fillId="0" borderId="5" xfId="0" applyNumberFormat="1" applyFont="1" applyBorder="1" applyAlignment="1">
      <alignment vertical="center"/>
    </xf>
    <xf numFmtId="44" fontId="5" fillId="0" borderId="5" xfId="0" applyNumberFormat="1" applyFont="1" applyBorder="1" applyAlignment="1">
      <alignment vertical="center"/>
    </xf>
    <xf numFmtId="44" fontId="5" fillId="0" borderId="3" xfId="13" applyFont="1" applyBorder="1" applyAlignment="1">
      <alignment vertical="center"/>
    </xf>
    <xf numFmtId="9" fontId="5" fillId="0" borderId="3" xfId="0" applyNumberFormat="1" applyFont="1" applyBorder="1" applyAlignment="1">
      <alignment vertical="center"/>
    </xf>
    <xf numFmtId="44" fontId="5" fillId="0" borderId="3" xfId="0" applyNumberFormat="1" applyFont="1" applyBorder="1" applyAlignment="1">
      <alignment vertical="center"/>
    </xf>
    <xf numFmtId="44" fontId="5" fillId="0" borderId="15" xfId="0" applyNumberFormat="1" applyFont="1" applyBorder="1" applyAlignment="1">
      <alignment vertical="center"/>
    </xf>
  </cellXfs>
  <cellStyles count="89">
    <cellStyle name="20% - Énfasis1 2" xfId="45" xr:uid="{9E798DB3-E405-4916-83FC-20216CE4F260}"/>
    <cellStyle name="20% - Énfasis2 2" xfId="46" xr:uid="{6EC286A6-F865-485C-9FA0-AF8EDC4B4488}"/>
    <cellStyle name="20% - Énfasis3 2" xfId="47" xr:uid="{81620952-28E9-461F-854B-BFECAD25BDA8}"/>
    <cellStyle name="20% - Énfasis4 2" xfId="48" xr:uid="{012F8F1C-A1DB-491A-A045-D32C4119A69E}"/>
    <cellStyle name="20% - Énfasis5 2" xfId="49" xr:uid="{285657B1-1695-4DCB-B0B0-2705D807BB84}"/>
    <cellStyle name="20% - Énfasis6 2" xfId="50" xr:uid="{5184727E-CE1D-4440-9A50-22987B799326}"/>
    <cellStyle name="40% - Énfasis1 2" xfId="51" xr:uid="{D1EC20E2-19DF-4A21-B898-C79B5A30AF0F}"/>
    <cellStyle name="40% - Énfasis2 2" xfId="52" xr:uid="{52B8C6F1-84C4-4119-84B7-7AB953F70E55}"/>
    <cellStyle name="40% - Énfasis3 2" xfId="53" xr:uid="{D7A1F9CC-9EAA-48D5-9408-27B5E089F088}"/>
    <cellStyle name="40% - Énfasis4 2" xfId="54" xr:uid="{2DDE4866-8811-4C66-8359-E3C78D13D9B9}"/>
    <cellStyle name="40% - Énfasis5 2" xfId="55" xr:uid="{96D152CC-341A-4545-B432-58467CAC1795}"/>
    <cellStyle name="40% - Énfasis6 2" xfId="56" xr:uid="{46F4C841-68C4-4D77-AECE-2540D90BD494}"/>
    <cellStyle name="60% - Énfasis1 2" xfId="57" xr:uid="{598C5BD2-BD1B-4C14-BADA-E295635905CC}"/>
    <cellStyle name="60% - Énfasis2 2" xfId="58" xr:uid="{C0290A80-6379-4FEF-8998-BA2AA1D639EF}"/>
    <cellStyle name="60% - Énfasis3 2" xfId="59" xr:uid="{4DBA7829-7F84-4F60-99FC-0411EAAE25B6}"/>
    <cellStyle name="60% - Énfasis4 2" xfId="60" xr:uid="{DD2BD084-A633-4852-9F81-C8915DED7F33}"/>
    <cellStyle name="60% - Énfasis5 2" xfId="61" xr:uid="{06A8288E-FAC8-4783-91AB-2A2A82B707C1}"/>
    <cellStyle name="60% - Énfasis6 2" xfId="62" xr:uid="{8117436C-BAF4-4E88-91CA-7A5FBEA1E9BD}"/>
    <cellStyle name="Buena" xfId="63" xr:uid="{5156A10D-8122-410F-8741-A27E4E929B40}"/>
    <cellStyle name="Cálculo 2" xfId="64" xr:uid="{0A771546-FBF9-4F64-94C2-9621663DC475}"/>
    <cellStyle name="Celda de comprobación 2" xfId="65" xr:uid="{8D5344CA-C9CB-4638-AD02-F6DFD81EA713}"/>
    <cellStyle name="Celda vinculada 2" xfId="66" xr:uid="{3EAC78FE-3D35-400A-9FD9-9D1588E7285F}"/>
    <cellStyle name="Encabezado 4 2" xfId="67" xr:uid="{A268620B-2ACE-4E6E-82F5-B6BA48B9A41B}"/>
    <cellStyle name="Énfasis1 2" xfId="68" xr:uid="{71701A34-1A05-42AB-AC43-ACAE6C1DBE83}"/>
    <cellStyle name="Énfasis2 2" xfId="69" xr:uid="{78EEC1FE-8459-4726-B540-2D60FD82DB9A}"/>
    <cellStyle name="Énfasis3 2" xfId="70" xr:uid="{BD323231-E9FC-4898-8BB9-D4276552E2D8}"/>
    <cellStyle name="Énfasis4 2" xfId="71" xr:uid="{676294E5-BEC6-4C1B-92C6-C5741B71D204}"/>
    <cellStyle name="Énfasis5 2" xfId="72" xr:uid="{79F2EA8D-F95C-454C-A3A5-35CC0910AD52}"/>
    <cellStyle name="Énfasis6 2" xfId="73" xr:uid="{E7D96DC9-403D-4A54-B66C-336A2FADFE52}"/>
    <cellStyle name="Entrada 2" xfId="74" xr:uid="{BA7497EE-0D3C-4492-8DEF-C7C8500A11B2}"/>
    <cellStyle name="Estil 1" xfId="1" xr:uid="{00000000-0005-0000-0000-000001000000}"/>
    <cellStyle name="Euro" xfId="2" xr:uid="{00000000-0005-0000-0000-000002000000}"/>
    <cellStyle name="Euro 2" xfId="3" xr:uid="{00000000-0005-0000-0000-000003000000}"/>
    <cellStyle name="Euro 2 2" xfId="4" xr:uid="{00000000-0005-0000-0000-000004000000}"/>
    <cellStyle name="Euro 2 3" xfId="5" xr:uid="{00000000-0005-0000-0000-000005000000}"/>
    <cellStyle name="Euro 3" xfId="6" xr:uid="{00000000-0005-0000-0000-000006000000}"/>
    <cellStyle name="Euro 3 2" xfId="7" xr:uid="{00000000-0005-0000-0000-000007000000}"/>
    <cellStyle name="Euro 3 3" xfId="8" xr:uid="{00000000-0005-0000-0000-000008000000}"/>
    <cellStyle name="Euro 4" xfId="9" xr:uid="{00000000-0005-0000-0000-000009000000}"/>
    <cellStyle name="Excel Built-in Normal" xfId="10" xr:uid="{00000000-0005-0000-0000-00000A000000}"/>
    <cellStyle name="Incorrecto 2" xfId="75" xr:uid="{390B78CB-5B7A-44EF-A1F8-12CD54D15A2B}"/>
    <cellStyle name="Milers [0] 2" xfId="11" xr:uid="{00000000-0005-0000-0000-00000B000000}"/>
    <cellStyle name="Millares [0] 2" xfId="12" xr:uid="{00000000-0005-0000-0000-00000C000000}"/>
    <cellStyle name="Millares [0] 2 2" xfId="76" xr:uid="{06CB2CFB-39BF-444D-9D34-1B3932761778}"/>
    <cellStyle name="Moneda" xfId="13" builtinId="4"/>
    <cellStyle name="Moneda 2" xfId="14" xr:uid="{00000000-0005-0000-0000-00000D000000}"/>
    <cellStyle name="Neutral 2" xfId="77" xr:uid="{CF5A383D-1C3F-4237-965E-421687E6A4E2}"/>
    <cellStyle name="Normal" xfId="0" builtinId="0"/>
    <cellStyle name="Normal 2" xfId="15" xr:uid="{00000000-0005-0000-0000-00000F000000}"/>
    <cellStyle name="Normal 2 10" xfId="78" xr:uid="{EEB2B8C0-ACD3-4B6D-8F53-B5B4506391B5}"/>
    <cellStyle name="Normal 2 2" xfId="16" xr:uid="{00000000-0005-0000-0000-000010000000}"/>
    <cellStyle name="Normal 2 3" xfId="17" xr:uid="{00000000-0005-0000-0000-000011000000}"/>
    <cellStyle name="Normal 2 4" xfId="18" xr:uid="{00000000-0005-0000-0000-000012000000}"/>
    <cellStyle name="Normal 2 5" xfId="19" xr:uid="{00000000-0005-0000-0000-000013000000}"/>
    <cellStyle name="Normal 2 6" xfId="20" xr:uid="{00000000-0005-0000-0000-000014000000}"/>
    <cellStyle name="Normal 2 7" xfId="21" xr:uid="{00000000-0005-0000-0000-000015000000}"/>
    <cellStyle name="Normal 3" xfId="22" xr:uid="{00000000-0005-0000-0000-000016000000}"/>
    <cellStyle name="Normal 3 2" xfId="23" xr:uid="{00000000-0005-0000-0000-000017000000}"/>
    <cellStyle name="Normal 4" xfId="24" xr:uid="{00000000-0005-0000-0000-000018000000}"/>
    <cellStyle name="Normal 4 2" xfId="25" xr:uid="{00000000-0005-0000-0000-000019000000}"/>
    <cellStyle name="Normal 5" xfId="26" xr:uid="{00000000-0005-0000-0000-00001A000000}"/>
    <cellStyle name="Normal 5 2" xfId="27" xr:uid="{00000000-0005-0000-0000-00001B000000}"/>
    <cellStyle name="Normal 6" xfId="28" xr:uid="{00000000-0005-0000-0000-00001C000000}"/>
    <cellStyle name="Normal 7" xfId="29" xr:uid="{00000000-0005-0000-0000-00001D000000}"/>
    <cellStyle name="Normal 7 2" xfId="30" xr:uid="{00000000-0005-0000-0000-00001E000000}"/>
    <cellStyle name="Normal 8" xfId="31" xr:uid="{00000000-0005-0000-0000-00001F000000}"/>
    <cellStyle name="Normal 9" xfId="43" xr:uid="{57230865-5314-4D68-A234-E59B1F55BDDD}"/>
    <cellStyle name="Normal_Hoja1" xfId="32" xr:uid="{00000000-0005-0000-0000-000020000000}"/>
    <cellStyle name="Normal_Lectures pòl 30062005" xfId="33" xr:uid="{00000000-0005-0000-0000-000022000000}"/>
    <cellStyle name="Notas 2" xfId="79" xr:uid="{BC733FA0-1B19-4FF8-A221-7709766DBEF7}"/>
    <cellStyle name="Percentual 2" xfId="34" xr:uid="{00000000-0005-0000-0000-000024000000}"/>
    <cellStyle name="Percentual 2 2" xfId="35" xr:uid="{00000000-0005-0000-0000-000025000000}"/>
    <cellStyle name="Percentual 2 3" xfId="36" xr:uid="{00000000-0005-0000-0000-000026000000}"/>
    <cellStyle name="Percentual 3" xfId="37" xr:uid="{00000000-0005-0000-0000-000027000000}"/>
    <cellStyle name="Percentual 4" xfId="38" xr:uid="{00000000-0005-0000-0000-000028000000}"/>
    <cellStyle name="Percentual 5" xfId="39" xr:uid="{00000000-0005-0000-0000-000029000000}"/>
    <cellStyle name="Percentual 6" xfId="40" xr:uid="{00000000-0005-0000-0000-00002A000000}"/>
    <cellStyle name="Porcentaje" xfId="41" builtinId="5"/>
    <cellStyle name="Porcentaje 2" xfId="44" xr:uid="{B652ED70-0CD2-4EAD-995C-77FD0C3FDE22}"/>
    <cellStyle name="Punto0" xfId="42" xr:uid="{00000000-0005-0000-0000-00002B000000}"/>
    <cellStyle name="Punto0 2" xfId="80" xr:uid="{9BCD33E8-7319-4B0D-A86B-94E616185C8C}"/>
    <cellStyle name="Salida 2" xfId="81" xr:uid="{EA376030-2582-4952-B9F5-5251B0AF0ADA}"/>
    <cellStyle name="Texto de advertencia 2" xfId="82" xr:uid="{D771E7F3-8C4B-480D-94D1-93E132FD40F1}"/>
    <cellStyle name="Texto explicativo 2" xfId="83" xr:uid="{A6BC3D0A-C350-4D52-A6E7-A6A33B6B7E1F}"/>
    <cellStyle name="Título 1" xfId="85" xr:uid="{D4D77625-38B4-4C55-B575-113D701DC378}"/>
    <cellStyle name="Título 2 2" xfId="86" xr:uid="{F1D2F1A4-AAFA-4E4D-80F0-929D2115FEF1}"/>
    <cellStyle name="Título 3 2" xfId="87" xr:uid="{DCCA4830-706C-4F61-B1ED-4BCE21AEC675}"/>
    <cellStyle name="Título 4" xfId="84" xr:uid="{C80A1881-2DAA-45BD-9702-A1F7060704B7}"/>
    <cellStyle name="Total 2" xfId="88" xr:uid="{A58E9D31-66FA-4689-A283-8443A5BD977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7"/>
  <sheetViews>
    <sheetView tabSelected="1" zoomScale="110" zoomScaleNormal="110" workbookViewId="0">
      <selection activeCell="E5" sqref="E5"/>
    </sheetView>
  </sheetViews>
  <sheetFormatPr baseColWidth="10" defaultColWidth="11.42578125" defaultRowHeight="12.75"/>
  <cols>
    <col min="1" max="1" width="4.140625" style="7" customWidth="1"/>
    <col min="2" max="2" width="77.7109375" style="7" customWidth="1"/>
    <col min="3" max="3" width="17" style="7" bestFit="1" customWidth="1"/>
    <col min="4" max="4" width="9" style="7" customWidth="1"/>
    <col min="5" max="5" width="19.28515625" style="7" bestFit="1" customWidth="1"/>
    <col min="6" max="6" width="8.7109375" style="7" customWidth="1"/>
    <col min="7" max="7" width="18.140625" style="7" bestFit="1" customWidth="1"/>
    <col min="8" max="16384" width="11.42578125" style="7"/>
  </cols>
  <sheetData>
    <row r="1" spans="2:7" ht="18.75" thickBot="1">
      <c r="B1" s="355" t="s">
        <v>211</v>
      </c>
      <c r="C1" s="356"/>
      <c r="D1" s="357"/>
    </row>
    <row r="3" spans="2:7" ht="13.5" thickBot="1"/>
    <row r="4" spans="2:7" ht="26.25" thickBot="1">
      <c r="B4" s="361" t="s">
        <v>212</v>
      </c>
      <c r="C4" s="362"/>
      <c r="D4" s="335" t="s">
        <v>216</v>
      </c>
      <c r="E4" s="334" t="s">
        <v>213</v>
      </c>
      <c r="F4" s="335" t="s">
        <v>214</v>
      </c>
      <c r="G4" s="336" t="s">
        <v>215</v>
      </c>
    </row>
    <row r="5" spans="2:7" ht="37.9" customHeight="1">
      <c r="B5" s="38" t="s">
        <v>217</v>
      </c>
      <c r="C5" s="339">
        <f>'DD alta'!H18</f>
        <v>2351266.1911231978</v>
      </c>
      <c r="D5" s="332">
        <v>5</v>
      </c>
      <c r="E5" s="453">
        <f>2351266.19*D5</f>
        <v>11756330.949999999</v>
      </c>
      <c r="F5" s="454">
        <v>0.1</v>
      </c>
      <c r="G5" s="455">
        <f>E5+(E5*10%)</f>
        <v>12931964.045</v>
      </c>
    </row>
    <row r="6" spans="2:7" ht="28.5">
      <c r="B6" s="333" t="s">
        <v>218</v>
      </c>
      <c r="C6" s="340">
        <v>230000</v>
      </c>
      <c r="D6" s="101">
        <v>5</v>
      </c>
      <c r="E6" s="456">
        <f>C6*D6</f>
        <v>1150000</v>
      </c>
      <c r="F6" s="457">
        <v>0.21</v>
      </c>
      <c r="G6" s="458">
        <f>E6+(E6*21%)</f>
        <v>1391500</v>
      </c>
    </row>
    <row r="7" spans="2:7" ht="15" thickBot="1">
      <c r="B7" s="24"/>
      <c r="C7" s="338">
        <f>C5+C6</f>
        <v>2581266.1911231978</v>
      </c>
      <c r="D7" s="22"/>
      <c r="E7" s="459">
        <f>E5+E6</f>
        <v>12906330.949999999</v>
      </c>
    </row>
    <row r="8" spans="2:7" ht="20.25" customHeight="1" thickBot="1">
      <c r="B8" s="337" t="s">
        <v>219</v>
      </c>
      <c r="C8" s="363">
        <f>G5+G6</f>
        <v>14323464.045</v>
      </c>
      <c r="D8" s="363"/>
      <c r="E8" s="363"/>
      <c r="F8" s="363"/>
      <c r="G8" s="364"/>
    </row>
    <row r="9" spans="2:7" ht="24.75" customHeight="1">
      <c r="B9" s="358" t="s">
        <v>105</v>
      </c>
      <c r="C9" s="358"/>
      <c r="D9" s="358"/>
    </row>
    <row r="10" spans="2:7" ht="15.75">
      <c r="B10" s="328"/>
      <c r="C10" s="329"/>
      <c r="D10" s="330"/>
    </row>
    <row r="11" spans="2:7" ht="15.75">
      <c r="B11" s="328"/>
      <c r="C11" s="329"/>
      <c r="D11" s="330"/>
    </row>
    <row r="12" spans="2:7" ht="15">
      <c r="B12" s="27"/>
      <c r="C12" s="452"/>
      <c r="D12" s="27"/>
    </row>
    <row r="13" spans="2:7" ht="25.9" customHeight="1">
      <c r="B13" s="316"/>
      <c r="C13" s="317"/>
      <c r="D13" s="26"/>
    </row>
    <row r="14" spans="2:7" ht="14.25">
      <c r="B14" s="24"/>
      <c r="C14" s="317"/>
      <c r="D14" s="26"/>
    </row>
    <row r="15" spans="2:7" ht="15">
      <c r="B15" s="325"/>
      <c r="C15" s="331"/>
      <c r="D15" s="52"/>
    </row>
    <row r="16" spans="2:7" ht="14.25">
      <c r="B16" s="316"/>
      <c r="C16" s="317"/>
      <c r="D16" s="26"/>
    </row>
    <row r="17" spans="2:7" ht="34.9" hidden="1" customHeight="1" thickBot="1">
      <c r="B17" s="24"/>
      <c r="C17" s="318"/>
      <c r="D17" s="25"/>
    </row>
    <row r="18" spans="2:7" ht="14.25" hidden="1">
      <c r="B18" s="22"/>
      <c r="C18" s="22"/>
      <c r="D18" s="22"/>
    </row>
    <row r="19" spans="2:7" ht="14.25">
      <c r="B19" s="22"/>
      <c r="C19" s="22"/>
      <c r="D19" s="22"/>
    </row>
    <row r="20" spans="2:7" ht="15">
      <c r="B20" s="360"/>
      <c r="C20" s="360"/>
      <c r="D20" s="360"/>
      <c r="E20" s="360"/>
      <c r="F20" s="360"/>
      <c r="G20" s="360"/>
    </row>
    <row r="21" spans="2:7" ht="15">
      <c r="B21" s="27"/>
      <c r="C21" s="319"/>
      <c r="D21" s="319"/>
      <c r="E21" s="319"/>
      <c r="F21" s="319"/>
      <c r="G21" s="319"/>
    </row>
    <row r="22" spans="2:7" ht="14.25">
      <c r="B22" s="320"/>
      <c r="C22" s="321"/>
      <c r="D22" s="26"/>
      <c r="E22" s="322"/>
      <c r="F22" s="323"/>
      <c r="G22" s="322"/>
    </row>
    <row r="23" spans="2:7" ht="14.25">
      <c r="B23" s="320"/>
      <c r="C23" s="321"/>
      <c r="D23" s="26"/>
      <c r="E23" s="324"/>
      <c r="F23" s="323"/>
      <c r="G23" s="322"/>
    </row>
    <row r="24" spans="2:7" ht="14.25">
      <c r="B24" s="320"/>
      <c r="C24" s="26"/>
      <c r="D24" s="26"/>
      <c r="E24" s="321"/>
      <c r="F24" s="323"/>
      <c r="G24" s="322"/>
    </row>
    <row r="25" spans="2:7" ht="15">
      <c r="B25" s="359"/>
      <c r="C25" s="359"/>
      <c r="D25" s="26"/>
      <c r="E25" s="326"/>
      <c r="F25" s="52"/>
      <c r="G25" s="326"/>
    </row>
    <row r="27" spans="2:7">
      <c r="G27" s="327"/>
    </row>
  </sheetData>
  <mergeCells count="6">
    <mergeCell ref="B1:D1"/>
    <mergeCell ref="B9:D9"/>
    <mergeCell ref="B25:C25"/>
    <mergeCell ref="B20:G20"/>
    <mergeCell ref="B4:C4"/>
    <mergeCell ref="C8:G8"/>
  </mergeCells>
  <phoneticPr fontId="19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S22"/>
  <sheetViews>
    <sheetView topLeftCell="A10" workbookViewId="0">
      <selection activeCell="I28" sqref="I28"/>
    </sheetView>
  </sheetViews>
  <sheetFormatPr baseColWidth="10" defaultColWidth="9.140625" defaultRowHeight="12.75"/>
  <cols>
    <col min="1" max="1" width="3" style="264" customWidth="1"/>
    <col min="2" max="2" width="24.5703125" style="264" customWidth="1"/>
    <col min="3" max="3" width="11.85546875" style="264" bestFit="1" customWidth="1"/>
    <col min="4" max="4" width="12.28515625" style="264" customWidth="1"/>
    <col min="5" max="8" width="12" style="264" customWidth="1"/>
    <col min="9" max="9" width="11.5703125" style="264" bestFit="1" customWidth="1"/>
    <col min="10" max="10" width="11.28515625" style="264" customWidth="1"/>
    <col min="11" max="11" width="11.7109375" style="264" bestFit="1" customWidth="1"/>
    <col min="12" max="12" width="13.140625" style="264" customWidth="1"/>
    <col min="13" max="13" width="10.28515625" style="264" customWidth="1"/>
    <col min="14" max="19" width="13.7109375" style="264" customWidth="1"/>
    <col min="20" max="16384" width="9.140625" style="264"/>
  </cols>
  <sheetData>
    <row r="2" spans="2:19" ht="50.45" customHeight="1">
      <c r="C2" s="265" t="s">
        <v>139</v>
      </c>
      <c r="D2" s="265" t="s">
        <v>140</v>
      </c>
      <c r="E2" s="266"/>
    </row>
    <row r="3" spans="2:19">
      <c r="B3" s="267" t="s">
        <v>151</v>
      </c>
      <c r="C3" s="185">
        <v>0.03</v>
      </c>
      <c r="D3" s="185">
        <f>(((1+C3)+((1+C3)*(1+C3))+((1+C3)*(1+C3)*(1+C3))+((1+C3)*(1+C3)*(1+C3)*(1+C3))+((1+C3)*(1+C3)*(1+C3)*(1+C3)*(1+C3)))/5)-1</f>
        <v>9.3681976859999905E-2</v>
      </c>
      <c r="E3" s="266"/>
    </row>
    <row r="4" spans="2:19">
      <c r="B4" s="267" t="s">
        <v>129</v>
      </c>
      <c r="C4" s="185">
        <v>0.03</v>
      </c>
      <c r="D4" s="185">
        <f>(((1+C4)+((1+C4)*(1+C4))+((1+C4)*(1+C4)*(1+C4))+((1+C4)*(1+C4)*(1+C4)*(1+C4))+((1+C4)*(1+C4)*(1+C4)*(1+C4)*(1+C4)))/5)-1</f>
        <v>9.3681976859999905E-2</v>
      </c>
      <c r="E4" s="268"/>
    </row>
    <row r="5" spans="2:19">
      <c r="B5" s="267" t="s">
        <v>128</v>
      </c>
      <c r="C5" s="185">
        <v>0.02</v>
      </c>
      <c r="D5" s="185">
        <f>(((1+C5)+((1+C5)*(1+C5))+((1+C5)*(1+C5)*(1+C5))+((1+C5)*(1+C5)*(1+C5)*(1+C5))+((1+C5)*(1+C5)*(1+C5)*(1+C5)*(1+C5)))/5)-1</f>
        <v>6.1624192640000075E-2</v>
      </c>
      <c r="E5" s="268"/>
    </row>
    <row r="6" spans="2:19" ht="13.5" thickBot="1"/>
    <row r="7" spans="2:19" ht="15.75" customHeight="1" thickBot="1">
      <c r="C7" s="442" t="s">
        <v>150</v>
      </c>
      <c r="D7" s="447" t="s">
        <v>104</v>
      </c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47"/>
      <c r="S7" s="448"/>
    </row>
    <row r="8" spans="2:19" ht="21" customHeight="1">
      <c r="C8" s="443"/>
      <c r="D8" s="445" t="s">
        <v>148</v>
      </c>
      <c r="E8" s="446"/>
      <c r="F8" s="446"/>
      <c r="G8" s="446"/>
      <c r="H8" s="446"/>
      <c r="I8" s="446"/>
      <c r="J8" s="446"/>
      <c r="K8" s="446"/>
      <c r="L8" s="446"/>
      <c r="M8" s="449" t="s">
        <v>205</v>
      </c>
      <c r="N8" s="445" t="s">
        <v>149</v>
      </c>
      <c r="O8" s="446"/>
      <c r="P8" s="446"/>
      <c r="Q8" s="446"/>
      <c r="R8" s="446"/>
      <c r="S8" s="449" t="s">
        <v>207</v>
      </c>
    </row>
    <row r="9" spans="2:19" ht="73.900000000000006" customHeight="1" thickBot="1">
      <c r="C9" s="444"/>
      <c r="D9" s="280" t="s">
        <v>8</v>
      </c>
      <c r="E9" s="269" t="s">
        <v>110</v>
      </c>
      <c r="F9" s="269" t="s">
        <v>9</v>
      </c>
      <c r="G9" s="269" t="s">
        <v>10</v>
      </c>
      <c r="H9" s="269" t="s">
        <v>11</v>
      </c>
      <c r="I9" s="269" t="s">
        <v>12</v>
      </c>
      <c r="J9" s="269" t="s">
        <v>201</v>
      </c>
      <c r="K9" s="269" t="s">
        <v>200</v>
      </c>
      <c r="L9" s="269" t="s">
        <v>206</v>
      </c>
      <c r="M9" s="450"/>
      <c r="N9" s="276" t="s">
        <v>111</v>
      </c>
      <c r="O9" s="270" t="s">
        <v>13</v>
      </c>
      <c r="P9" s="270" t="s">
        <v>14</v>
      </c>
      <c r="Q9" s="271" t="s">
        <v>15</v>
      </c>
      <c r="R9" s="269" t="s">
        <v>206</v>
      </c>
      <c r="S9" s="450"/>
    </row>
    <row r="10" spans="2:19">
      <c r="B10" s="164" t="s">
        <v>24</v>
      </c>
      <c r="C10" s="297">
        <f>'Mitjanes cabals'!G6*12/1000</f>
        <v>290.84575000000001</v>
      </c>
      <c r="D10" s="281">
        <f>'Personal general'!C39</f>
        <v>88440.880378031434</v>
      </c>
      <c r="E10" s="282">
        <f>Energia!C26*(1+$D$3)</f>
        <v>2395.8073904871967</v>
      </c>
      <c r="F10" s="282">
        <f>'Costos materials'!C4*(1+$D$4)</f>
        <v>22307.910027115751</v>
      </c>
      <c r="G10" s="282">
        <f>'Costos materials'!D4*(1+$D$4)</f>
        <v>1216.5593343241744</v>
      </c>
      <c r="H10" s="282">
        <f>'Costos materials'!E4*(1+$D$4)</f>
        <v>11941.224485688917</v>
      </c>
      <c r="I10" s="282">
        <f>'Costos materials'!F4*(1+$D$4)</f>
        <v>1454.5970292237998</v>
      </c>
      <c r="J10" s="282">
        <f>'Actuacions necessàries'!C14</f>
        <v>5238.2</v>
      </c>
      <c r="K10" s="282">
        <f>($D$4+1)*'Altres conceptes'!D19</f>
        <v>10256.549578993079</v>
      </c>
      <c r="L10" s="287">
        <f t="shared" ref="L10:L18" si="0">SUM(D10:K10)</f>
        <v>143251.72822386437</v>
      </c>
      <c r="M10" s="288">
        <f t="shared" ref="M10:M18" si="1">L10/365</f>
        <v>392.47048828455991</v>
      </c>
      <c r="N10" s="277">
        <f>Energia!D26*(1+$D$3)</f>
        <v>41249.30943925176</v>
      </c>
      <c r="O10" s="274">
        <f>('Fangs i reactius'!H8+'Fangs i reactius'!I8)*(1+$D$4)</f>
        <v>2388.6014374622396</v>
      </c>
      <c r="P10" s="274">
        <f>'Costos materials'!G4*(1+$D$4)</f>
        <v>944.94122800703997</v>
      </c>
      <c r="Q10" s="274">
        <f>'Fangs i reactius'!G8*(1+$D$5)</f>
        <v>13873.665901645019</v>
      </c>
      <c r="R10" s="274">
        <f t="shared" ref="R10:R18" si="2">SUM(N10:Q10)</f>
        <v>58456.518006366059</v>
      </c>
      <c r="S10" s="290">
        <f>R10/C10</f>
        <v>200.98804265273279</v>
      </c>
    </row>
    <row r="11" spans="2:19">
      <c r="B11" s="164" t="s">
        <v>28</v>
      </c>
      <c r="C11" s="298">
        <f>'Mitjanes cabals'!G7*12/1000</f>
        <v>61.236750000000001</v>
      </c>
      <c r="D11" s="277">
        <f>'Personal general'!C40</f>
        <v>29321.765999627842</v>
      </c>
      <c r="E11" s="274">
        <f>Energia!C27*(1+$D$3)</f>
        <v>1255.7868138689134</v>
      </c>
      <c r="F11" s="274">
        <f>'Costos materials'!C5*(1+$D$4)</f>
        <v>7900.7181346034949</v>
      </c>
      <c r="G11" s="274">
        <f>'Costos materials'!D5*(1+$D$4)</f>
        <v>430.86476423981179</v>
      </c>
      <c r="H11" s="274">
        <f>'Costos materials'!E5*(1+$D$4)</f>
        <v>3568.6842904941795</v>
      </c>
      <c r="I11" s="274">
        <f>'Costos materials'!F5*(1+$D$4)</f>
        <v>907.75604079379991</v>
      </c>
      <c r="J11" s="275">
        <f>'Actuacions necessàries'!C15</f>
        <v>2409.5500000000002</v>
      </c>
      <c r="K11" s="275">
        <f>($D$4+1)*'Altres conceptes'!D20</f>
        <v>2564.1373947482698</v>
      </c>
      <c r="L11" s="289">
        <f t="shared" si="0"/>
        <v>48359.263438376314</v>
      </c>
      <c r="M11" s="290">
        <f t="shared" si="1"/>
        <v>132.49113270788033</v>
      </c>
      <c r="N11" s="277">
        <f>Energia!D27*(1+$D$3)</f>
        <v>11755.550096477395</v>
      </c>
      <c r="O11" s="274">
        <f>('Fangs i reactius'!H9+'Fangs i reactius'!I9)*(1+$D$4)</f>
        <v>505.06233691394789</v>
      </c>
      <c r="P11" s="274">
        <f>'Costos materials'!G5*(1+$D$4)</f>
        <v>334.66668491915999</v>
      </c>
      <c r="Q11" s="274">
        <f>'Fangs i reactius'!G9*(1+$D$5)</f>
        <v>1249.2131874794882</v>
      </c>
      <c r="R11" s="274">
        <f t="shared" si="2"/>
        <v>13844.492305789992</v>
      </c>
      <c r="S11" s="290">
        <f t="shared" ref="S11:S18" si="3">R11/C11</f>
        <v>226.08143485390704</v>
      </c>
    </row>
    <row r="12" spans="2:19">
      <c r="B12" s="164" t="s">
        <v>25</v>
      </c>
      <c r="C12" s="298">
        <f>'Mitjanes cabals'!G8*12/1000</f>
        <v>326.32375000000002</v>
      </c>
      <c r="D12" s="277">
        <f>'Personal general'!C41</f>
        <v>87908.688536232308</v>
      </c>
      <c r="E12" s="274">
        <f>Energia!C28*(1+$D$3)</f>
        <v>4255.1214903731397</v>
      </c>
      <c r="F12" s="274">
        <f>'Costos materials'!C6*(1+$D$4)</f>
        <v>28349.6356594596</v>
      </c>
      <c r="G12" s="274">
        <f>'Costos materials'!D6*(1+$D$4)</f>
        <v>1546.044154036972</v>
      </c>
      <c r="H12" s="274">
        <f>'Costos materials'!E6*(1+$D$4)</f>
        <v>11573.342679132518</v>
      </c>
      <c r="I12" s="274">
        <f>'Costos materials'!F6*(1+$D$4)</f>
        <v>1126.4924361658</v>
      </c>
      <c r="J12" s="275">
        <f>'Actuacions necessàries'!C16</f>
        <v>5238.2</v>
      </c>
      <c r="K12" s="275">
        <f>($D$4+1)*'Altres conceptes'!D21</f>
        <v>10256.549578993079</v>
      </c>
      <c r="L12" s="289">
        <f t="shared" si="0"/>
        <v>150254.07453439347</v>
      </c>
      <c r="M12" s="290">
        <f t="shared" si="1"/>
        <v>411.65499872436567</v>
      </c>
      <c r="N12" s="277">
        <f>Energia!D28*(1+$D$3)</f>
        <v>55144.320218862689</v>
      </c>
      <c r="O12" s="274">
        <f>('Fangs i reactius'!H10+'Fangs i reactius'!I10)*(1+$D$4)</f>
        <v>2331.0190813805607</v>
      </c>
      <c r="P12" s="274">
        <f>'Costos materials'!G6*(1+$D$4)</f>
        <v>1200.8628105922799</v>
      </c>
      <c r="Q12" s="274">
        <f>'Fangs i reactius'!G10*(1+$D$5)</f>
        <v>18885.317692808374</v>
      </c>
      <c r="R12" s="274">
        <f t="shared" si="2"/>
        <v>77561.519803643896</v>
      </c>
      <c r="S12" s="290">
        <f t="shared" si="3"/>
        <v>237.68273012198435</v>
      </c>
    </row>
    <row r="13" spans="2:19">
      <c r="B13" s="164" t="s">
        <v>95</v>
      </c>
      <c r="C13" s="298">
        <f>'Mitjanes cabals'!G9*12/1000</f>
        <v>353.35174999999998</v>
      </c>
      <c r="D13" s="277">
        <f>'Personal general'!C42</f>
        <v>73134.926490538608</v>
      </c>
      <c r="E13" s="274">
        <f>Energia!C29*(1+$D$3)</f>
        <v>7534.3345665152046</v>
      </c>
      <c r="F13" s="274">
        <f>'Costos materials'!C7*(1+$D$4)</f>
        <v>41827.331300842037</v>
      </c>
      <c r="G13" s="274">
        <f>'Costos materials'!D7*(1+$D$4)</f>
        <v>2281.048751857827</v>
      </c>
      <c r="H13" s="274">
        <f>'Costos materials'!E7*(1+$D$4)</f>
        <v>11994.410240223619</v>
      </c>
      <c r="I13" s="274">
        <f>'Costos materials'!F7*(1+$D$4)</f>
        <v>1017.1242384797999</v>
      </c>
      <c r="J13" s="275">
        <f>'Actuacions necessàries'!C17</f>
        <v>5238.2</v>
      </c>
      <c r="K13" s="275">
        <f>($D$4+1)*'Altres conceptes'!D22</f>
        <v>10256.549578993079</v>
      </c>
      <c r="L13" s="289">
        <f t="shared" si="0"/>
        <v>153283.92516745019</v>
      </c>
      <c r="M13" s="290">
        <f t="shared" si="1"/>
        <v>419.95595936287725</v>
      </c>
      <c r="N13" s="277">
        <f>Energia!D29*(1+$D$3)</f>
        <v>62087.888353551454</v>
      </c>
      <c r="O13" s="274">
        <f>('Fangs i reactius'!H11+'Fangs i reactius'!I11)*(1+$D$4)</f>
        <v>7168.1010445381262</v>
      </c>
      <c r="P13" s="274">
        <f>'Costos materials'!G7*(1+$D$4)</f>
        <v>1771.7648025131998</v>
      </c>
      <c r="Q13" s="274">
        <f>'Fangs i reactius'!G11*(1+$D$5)</f>
        <v>20872.306612963032</v>
      </c>
      <c r="R13" s="274">
        <f t="shared" si="2"/>
        <v>91900.060813565811</v>
      </c>
      <c r="S13" s="290">
        <f t="shared" si="3"/>
        <v>260.08095563009329</v>
      </c>
    </row>
    <row r="14" spans="2:19">
      <c r="B14" s="164" t="s">
        <v>29</v>
      </c>
      <c r="C14" s="298">
        <f>'Mitjanes cabals'!G10*12/1000</f>
        <v>259.88574999999997</v>
      </c>
      <c r="D14" s="277">
        <f>'Personal general'!C43</f>
        <v>60083.150450532594</v>
      </c>
      <c r="E14" s="274">
        <f>Energia!C30*(1+$D$3)</f>
        <v>6161.1074763697889</v>
      </c>
      <c r="F14" s="274">
        <f>'Costos materials'!C8*(1+$D$4)</f>
        <v>28814.383785024518</v>
      </c>
      <c r="G14" s="274">
        <f>'Costos materials'!D8*(1+$D$4)</f>
        <v>1571.3891401687258</v>
      </c>
      <c r="H14" s="274">
        <f>'Costos materials'!E8*(1+$D$4)</f>
        <v>11473.81761923826</v>
      </c>
      <c r="I14" s="274">
        <f>'Costos materials'!F8*(1+$D$4)</f>
        <v>1454.5970292237998</v>
      </c>
      <c r="J14" s="275">
        <f>'Actuacions necessàries'!C18</f>
        <v>2619.1</v>
      </c>
      <c r="K14" s="275">
        <f>($D$4+1)*'Altres conceptes'!D23</f>
        <v>5128.2747894965396</v>
      </c>
      <c r="L14" s="289">
        <f t="shared" si="0"/>
        <v>117305.82029005424</v>
      </c>
      <c r="M14" s="290">
        <f t="shared" si="1"/>
        <v>321.38580901384722</v>
      </c>
      <c r="N14" s="277">
        <f>Energia!D30*(1+$D$3)</f>
        <v>22268.677467241832</v>
      </c>
      <c r="O14" s="274">
        <f>('Fangs i reactius'!H12+'Fangs i reactius'!I12)*(1+$D$4)</f>
        <v>1276.7643397863637</v>
      </c>
      <c r="P14" s="274">
        <f>'Costos materials'!G8*(1+$D$4)</f>
        <v>1220.5490861757598</v>
      </c>
      <c r="Q14" s="274">
        <f>'Fangs i reactius'!G12*(1+$D$5)</f>
        <v>7008.6518274546042</v>
      </c>
      <c r="R14" s="274">
        <f t="shared" si="2"/>
        <v>31774.642720658561</v>
      </c>
      <c r="S14" s="290">
        <f t="shared" si="3"/>
        <v>122.26388988491506</v>
      </c>
    </row>
    <row r="15" spans="2:19">
      <c r="B15" s="164" t="s">
        <v>96</v>
      </c>
      <c r="C15" s="298">
        <f>'Mitjanes cabals'!G11*12/1000</f>
        <v>339.51675</v>
      </c>
      <c r="D15" s="277">
        <f>'Personal general'!C44</f>
        <v>114099.35834722318</v>
      </c>
      <c r="E15" s="274">
        <f>Energia!C31*(1+$D$3)</f>
        <v>7789.8186763096992</v>
      </c>
      <c r="F15" s="274">
        <f>'Costos materials'!C9*(1+$D$4)</f>
        <v>35320.85754293327</v>
      </c>
      <c r="G15" s="274">
        <f>'Costos materials'!D9*(1+$D$4)</f>
        <v>1926.2189460132763</v>
      </c>
      <c r="H15" s="274">
        <f>'Costos materials'!E9*(1+$D$4)</f>
        <v>14203.647833480818</v>
      </c>
      <c r="I15" s="274">
        <f>'Costos materials'!F9*(1+$D$4)</f>
        <v>1126.4924361658</v>
      </c>
      <c r="J15" s="275">
        <f>'Actuacions necessàries'!C19</f>
        <v>30476.400000000001</v>
      </c>
      <c r="K15" s="275">
        <f>($D$4+1)*'Altres conceptes'!D24</f>
        <v>20513.099157986158</v>
      </c>
      <c r="L15" s="289">
        <f t="shared" si="0"/>
        <v>225455.89294011222</v>
      </c>
      <c r="M15" s="290">
        <f t="shared" si="1"/>
        <v>617.68737791811566</v>
      </c>
      <c r="N15" s="277">
        <f>Energia!D31*(1+$D$3)</f>
        <v>69586.390723298988</v>
      </c>
      <c r="O15" s="274">
        <f>('Fangs i reactius'!H13+'Fangs i reactius'!I13)*(1+$D$4)</f>
        <v>2550.6851064328916</v>
      </c>
      <c r="P15" s="274">
        <f>'Costos materials'!G9*(1+$D$4)</f>
        <v>1496.1569443444798</v>
      </c>
      <c r="Q15" s="274">
        <f>'Fangs i reactius'!G13*(1+$D$5)</f>
        <v>12348.058855611707</v>
      </c>
      <c r="R15" s="274">
        <f t="shared" si="2"/>
        <v>85981.291629688058</v>
      </c>
      <c r="S15" s="290">
        <f t="shared" si="3"/>
        <v>253.24609648769334</v>
      </c>
    </row>
    <row r="16" spans="2:19">
      <c r="B16" s="164" t="s">
        <v>97</v>
      </c>
      <c r="C16" s="298">
        <f>'Mitjanes cabals'!G12*12/1000</f>
        <v>1341.3027500000001</v>
      </c>
      <c r="D16" s="277">
        <f>'Personal general'!C45</f>
        <v>180910.96192758766</v>
      </c>
      <c r="E16" s="274">
        <f>Energia!C32*(1+$D$3)</f>
        <v>14210.337815573144</v>
      </c>
      <c r="F16" s="274">
        <f>'Costos materials'!C10*(1+$D$4)</f>
        <v>92484.876987417374</v>
      </c>
      <c r="G16" s="274">
        <f>'Costos materials'!D10*(1+$D$4)</f>
        <v>5043.6522402189739</v>
      </c>
      <c r="H16" s="274">
        <f>'Costos materials'!E10*(1+$D$4)</f>
        <v>41674.751728250296</v>
      </c>
      <c r="I16" s="274">
        <f>'Costos materials'!F10*(1+$D$4)</f>
        <v>869.47717160369996</v>
      </c>
      <c r="J16" s="275">
        <f>'Actuacions necessàries'!C20</f>
        <v>19643.25</v>
      </c>
      <c r="K16" s="275">
        <f>($D$4+1)*'Altres conceptes'!D25</f>
        <v>38462.060921224045</v>
      </c>
      <c r="L16" s="289">
        <f t="shared" si="0"/>
        <v>393299.36879187525</v>
      </c>
      <c r="M16" s="290">
        <f t="shared" si="1"/>
        <v>1077.5325172380144</v>
      </c>
      <c r="N16" s="277">
        <f>Energia!D32*(1+$D$3)</f>
        <v>185028.89810877942</v>
      </c>
      <c r="O16" s="274">
        <f>('Fangs i reactius'!H14+'Fangs i reactius'!I14)*(1+$D$4)</f>
        <v>19783.886699914754</v>
      </c>
      <c r="P16" s="274">
        <f>'Costos materials'!G10*(1+$D$4)</f>
        <v>3917.5688411125197</v>
      </c>
      <c r="Q16" s="274">
        <f>'Fangs i reactius'!G14*(1+$D$5)</f>
        <v>100130.74833230619</v>
      </c>
      <c r="R16" s="274">
        <f t="shared" si="2"/>
        <v>308861.10198211286</v>
      </c>
      <c r="S16" s="290">
        <f t="shared" si="3"/>
        <v>230.26949134497252</v>
      </c>
    </row>
    <row r="17" spans="2:19">
      <c r="B17" s="164" t="s">
        <v>91</v>
      </c>
      <c r="C17" s="298">
        <f>'Mitjanes cabals'!G13*12/1000</f>
        <v>8.2439999999999998</v>
      </c>
      <c r="D17" s="277">
        <f>'Personal general'!C46</f>
        <v>24406.767638341258</v>
      </c>
      <c r="E17" s="274">
        <f>Energia!C33*(1+$D$3)</f>
        <v>405.01822631099782</v>
      </c>
      <c r="F17" s="274">
        <f>'Costos materials'!C11*(1+$D$4)</f>
        <v>1394.2443766947345</v>
      </c>
      <c r="G17" s="274">
        <f>'Costos materials'!D11*(1+$D$4)</f>
        <v>76.034958395260901</v>
      </c>
      <c r="H17" s="274">
        <f>'Costos materials'!E11*(1+$D$4)</f>
        <v>3135.5862276576199</v>
      </c>
      <c r="I17" s="274">
        <f>'Costos materials'!F11*(1+$D$4)</f>
        <v>1126.4924361658</v>
      </c>
      <c r="J17" s="275">
        <f>'Actuacions necessàries'!C21</f>
        <v>1309.55</v>
      </c>
      <c r="K17" s="275">
        <f>($D$4+1)*'Altres conceptes'!D26</f>
        <v>2564.1373947482698</v>
      </c>
      <c r="L17" s="289">
        <f t="shared" si="0"/>
        <v>34417.831258313941</v>
      </c>
      <c r="M17" s="290">
        <f t="shared" si="1"/>
        <v>94.295428104969702</v>
      </c>
      <c r="N17" s="277">
        <f>Energia!D33*(1+$D$3)</f>
        <v>1400.350403171544</v>
      </c>
      <c r="O17" s="274">
        <f>('Fangs i reactius'!H15+'Fangs i reactius'!I15)*(1+$D$4)</f>
        <v>0</v>
      </c>
      <c r="P17" s="274">
        <f>'Costos materials'!G11*(1+$D$4)</f>
        <v>59.058826750439998</v>
      </c>
      <c r="Q17" s="274">
        <f>'Fangs i reactius'!G15*(1+$D$5)</f>
        <v>954.4001491833601</v>
      </c>
      <c r="R17" s="274">
        <f t="shared" si="2"/>
        <v>2413.8093791053443</v>
      </c>
      <c r="S17" s="290">
        <f t="shared" si="3"/>
        <v>292.79589751399129</v>
      </c>
    </row>
    <row r="18" spans="2:19" ht="13.5" thickBot="1">
      <c r="B18" s="164" t="s">
        <v>92</v>
      </c>
      <c r="C18" s="299">
        <f>'Mitjanes cabals'!G14*12/1000</f>
        <v>10.659000000000001</v>
      </c>
      <c r="D18" s="278">
        <f>'Personal general'!C47</f>
        <v>24885.793057853829</v>
      </c>
      <c r="E18" s="279">
        <f>Energia!C34*(1+$D$3)</f>
        <v>404.98867202806946</v>
      </c>
      <c r="F18" s="279">
        <f>'Costos materials'!C12*(1+$D$4)</f>
        <v>2323.7406278245576</v>
      </c>
      <c r="G18" s="279">
        <f>'Costos materials'!D12*(1+$D$4)</f>
        <v>126.72493065876819</v>
      </c>
      <c r="H18" s="279">
        <f>'Costos materials'!E12*(1+$D$4)</f>
        <v>2775.7648572706798</v>
      </c>
      <c r="I18" s="279">
        <f>'Costos materials'!F12*(1+$D$4)</f>
        <v>1235.8606338518</v>
      </c>
      <c r="J18" s="283">
        <f>'Actuacions necessàries'!C22</f>
        <v>1309.55</v>
      </c>
      <c r="K18" s="283">
        <f>($D$4+1)*'Altres conceptes'!D27</f>
        <v>2564.1373947482698</v>
      </c>
      <c r="L18" s="291">
        <f t="shared" si="0"/>
        <v>35626.56017423598</v>
      </c>
      <c r="M18" s="292">
        <f t="shared" si="1"/>
        <v>97.607014175988979</v>
      </c>
      <c r="N18" s="278">
        <f>Energia!D34*(1+$D$3)</f>
        <v>2473.4711588665755</v>
      </c>
      <c r="O18" s="279">
        <f>('Fangs i reactius'!H16+'Fangs i reactius'!I16)*(1+$D$4)</f>
        <v>0</v>
      </c>
      <c r="P18" s="279">
        <f>'Costos materials'!G12*(1+$D$4)</f>
        <v>98.431377917399985</v>
      </c>
      <c r="Q18" s="279">
        <f>'Fangs i reactius'!G16*(1+$D$5)</f>
        <v>1234.1381239440002</v>
      </c>
      <c r="R18" s="279">
        <f t="shared" si="2"/>
        <v>3806.0406607279756</v>
      </c>
      <c r="S18" s="292">
        <f t="shared" si="3"/>
        <v>357.07295813190501</v>
      </c>
    </row>
    <row r="19" spans="2:19" ht="13.5" thickBot="1"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</row>
    <row r="20" spans="2:19" ht="13.5" thickBot="1">
      <c r="B20" s="295" t="s">
        <v>101</v>
      </c>
      <c r="C20" s="296">
        <f>SUM(C10:C19)</f>
        <v>2991.36625</v>
      </c>
      <c r="D20" s="284">
        <f t="shared" ref="D20:R20" si="4">SUM(D10:D19)</f>
        <v>683192.2928259687</v>
      </c>
      <c r="E20" s="284">
        <f t="shared" si="4"/>
        <v>44412.321127836156</v>
      </c>
      <c r="F20" s="284">
        <f t="shared" si="4"/>
        <v>260723.69844191533</v>
      </c>
      <c r="G20" s="284">
        <f t="shared" si="4"/>
        <v>14218.537219913789</v>
      </c>
      <c r="H20" s="284">
        <f t="shared" si="4"/>
        <v>112341.22996143691</v>
      </c>
      <c r="I20" s="284">
        <f t="shared" si="4"/>
        <v>10318.8894516741</v>
      </c>
      <c r="J20" s="284">
        <f t="shared" si="4"/>
        <v>73482</v>
      </c>
      <c r="K20" s="284">
        <f t="shared" si="4"/>
        <v>102565.49578993078</v>
      </c>
      <c r="L20" s="293">
        <f t="shared" si="4"/>
        <v>1301254.464818676</v>
      </c>
      <c r="M20" s="294">
        <f t="shared" si="4"/>
        <v>3565.080725530619</v>
      </c>
      <c r="N20" s="286">
        <f t="shared" si="4"/>
        <v>450994.85596950166</v>
      </c>
      <c r="O20" s="284">
        <f t="shared" si="4"/>
        <v>36004.120046428885</v>
      </c>
      <c r="P20" s="284">
        <f t="shared" si="4"/>
        <v>11044.00060233228</v>
      </c>
      <c r="Q20" s="284">
        <f t="shared" si="4"/>
        <v>176556.50068339577</v>
      </c>
      <c r="R20" s="284">
        <f t="shared" si="4"/>
        <v>674599.4773016586</v>
      </c>
      <c r="S20" s="285"/>
    </row>
    <row r="22" spans="2:19">
      <c r="L22" s="273"/>
    </row>
  </sheetData>
  <mergeCells count="6">
    <mergeCell ref="C7:C9"/>
    <mergeCell ref="D8:L8"/>
    <mergeCell ref="D7:S7"/>
    <mergeCell ref="N8:R8"/>
    <mergeCell ref="M8:M9"/>
    <mergeCell ref="S8:S9"/>
  </mergeCells>
  <phoneticPr fontId="0" type="noConversion"/>
  <pageMargins left="0.51181102362204722" right="0.51181102362204722" top="0.35433070866141736" bottom="0.35433070866141736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25"/>
  <sheetViews>
    <sheetView zoomScale="82" zoomScaleNormal="80" workbookViewId="0">
      <selection activeCell="N14" sqref="N14"/>
    </sheetView>
  </sheetViews>
  <sheetFormatPr baseColWidth="10" defaultColWidth="11.42578125" defaultRowHeight="12.75"/>
  <cols>
    <col min="1" max="1" width="5" style="7" customWidth="1"/>
    <col min="2" max="2" width="36.140625" style="7" customWidth="1"/>
    <col min="3" max="3" width="12.42578125" style="7" customWidth="1"/>
    <col min="4" max="4" width="13.85546875" style="7" bestFit="1" customWidth="1"/>
    <col min="5" max="6" width="12.42578125" style="7" customWidth="1"/>
    <col min="7" max="7" width="13.85546875" style="130" bestFit="1" customWidth="1"/>
    <col min="8" max="8" width="23" style="7" customWidth="1"/>
    <col min="9" max="9" width="2.85546875" style="7" customWidth="1"/>
    <col min="10" max="10" width="8.7109375" style="7" customWidth="1"/>
    <col min="11" max="11" width="28.42578125" style="7" bestFit="1" customWidth="1"/>
    <col min="12" max="12" width="19.28515625" style="7" customWidth="1"/>
    <col min="13" max="13" width="15.140625" style="7" customWidth="1"/>
    <col min="14" max="14" width="22.85546875" style="7" customWidth="1"/>
    <col min="15" max="16384" width="11.42578125" style="7"/>
  </cols>
  <sheetData>
    <row r="1" spans="2:14" ht="15.75" thickBot="1">
      <c r="B1" s="27"/>
      <c r="C1" s="27"/>
    </row>
    <row r="2" spans="2:14" ht="37.5" customHeight="1">
      <c r="B2" s="379" t="s">
        <v>5</v>
      </c>
      <c r="C2" s="368" t="s">
        <v>176</v>
      </c>
      <c r="D2" s="369"/>
      <c r="E2" s="369"/>
      <c r="F2" s="369"/>
      <c r="G2" s="369"/>
      <c r="H2" s="382" t="s">
        <v>102</v>
      </c>
      <c r="I2" s="52"/>
      <c r="J2" s="52"/>
      <c r="K2" s="52"/>
      <c r="L2" s="52"/>
      <c r="M2" s="52"/>
    </row>
    <row r="3" spans="2:14" ht="49.15" customHeight="1">
      <c r="B3" s="380"/>
      <c r="C3" s="370"/>
      <c r="D3" s="370"/>
      <c r="E3" s="370"/>
      <c r="F3" s="370"/>
      <c r="G3" s="370"/>
      <c r="H3" s="383"/>
      <c r="I3" s="41"/>
      <c r="J3" s="41"/>
      <c r="K3" s="41"/>
      <c r="L3" s="41"/>
      <c r="M3" s="41"/>
    </row>
    <row r="4" spans="2:14" ht="33" thickBot="1">
      <c r="B4" s="381"/>
      <c r="C4" s="82" t="s">
        <v>18</v>
      </c>
      <c r="D4" s="82" t="s">
        <v>7</v>
      </c>
      <c r="E4" s="82" t="s">
        <v>170</v>
      </c>
      <c r="F4" s="82" t="s">
        <v>171</v>
      </c>
      <c r="G4" s="82" t="s">
        <v>6</v>
      </c>
      <c r="H4" s="83" t="s">
        <v>94</v>
      </c>
      <c r="I4" s="52"/>
      <c r="J4" s="41"/>
      <c r="K4" s="44"/>
      <c r="L4" s="351" t="s">
        <v>7</v>
      </c>
      <c r="M4" s="351" t="s">
        <v>6</v>
      </c>
      <c r="N4" s="351" t="s">
        <v>101</v>
      </c>
    </row>
    <row r="5" spans="2:14" ht="17.25" customHeight="1">
      <c r="B5" s="131" t="s">
        <v>0</v>
      </c>
      <c r="C5" s="171">
        <f>Sistemes!M10</f>
        <v>392.47048828455991</v>
      </c>
      <c r="D5" s="172">
        <f t="shared" ref="D5:D13" si="0">C5*365</f>
        <v>143251.72822386437</v>
      </c>
      <c r="E5" s="171">
        <f>Sistemes!S10</f>
        <v>200.98804265273279</v>
      </c>
      <c r="F5" s="172">
        <f>Sistemes!C10</f>
        <v>290.84575000000001</v>
      </c>
      <c r="G5" s="172">
        <f t="shared" ref="G5:G13" si="1">E5*F5</f>
        <v>58456.518006366059</v>
      </c>
      <c r="H5" s="132">
        <f t="shared" ref="H5:H13" si="2">D5+G5</f>
        <v>201708.24623023043</v>
      </c>
      <c r="I5" s="28"/>
      <c r="J5" s="39"/>
      <c r="K5" s="131" t="s">
        <v>0</v>
      </c>
      <c r="L5" s="352">
        <f>(D5*0.19)+D5</f>
        <v>170469.5565863986</v>
      </c>
      <c r="M5" s="353">
        <f>(G5*0.19)+G5</f>
        <v>69563.256427575616</v>
      </c>
      <c r="N5" s="353">
        <f>L5+M5</f>
        <v>240032.81301397423</v>
      </c>
    </row>
    <row r="6" spans="2:14" ht="17.25" customHeight="1">
      <c r="B6" s="131" t="s">
        <v>16</v>
      </c>
      <c r="C6" s="171">
        <f>Sistemes!M11</f>
        <v>132.49113270788033</v>
      </c>
      <c r="D6" s="172">
        <f>C6*365</f>
        <v>48359.263438376322</v>
      </c>
      <c r="E6" s="171">
        <f>Sistemes!S11</f>
        <v>226.08143485390704</v>
      </c>
      <c r="F6" s="172">
        <f>Sistemes!C11</f>
        <v>61.236750000000001</v>
      </c>
      <c r="G6" s="172">
        <f t="shared" si="1"/>
        <v>13844.492305789992</v>
      </c>
      <c r="H6" s="132">
        <f t="shared" si="2"/>
        <v>62203.755744166316</v>
      </c>
      <c r="I6" s="28"/>
      <c r="J6" s="39"/>
      <c r="K6" s="131" t="s">
        <v>16</v>
      </c>
      <c r="L6" s="352">
        <f>(D6*0.19)+D6</f>
        <v>57547.523491667824</v>
      </c>
      <c r="M6" s="353">
        <f>(G6*0.19)+G6</f>
        <v>16474.945843890091</v>
      </c>
      <c r="N6" s="353">
        <f t="shared" ref="N6:N12" si="3">L6+M6</f>
        <v>74022.469335557922</v>
      </c>
    </row>
    <row r="7" spans="2:14" ht="17.25" customHeight="1">
      <c r="B7" s="131" t="s">
        <v>1</v>
      </c>
      <c r="C7" s="171">
        <f>Sistemes!M12</f>
        <v>411.65499872436567</v>
      </c>
      <c r="D7" s="172">
        <f t="shared" si="0"/>
        <v>150254.07453439347</v>
      </c>
      <c r="E7" s="171">
        <f>Sistemes!S12</f>
        <v>237.68273012198435</v>
      </c>
      <c r="F7" s="172">
        <f>Sistemes!C12</f>
        <v>326.32375000000002</v>
      </c>
      <c r="G7" s="172">
        <f t="shared" si="1"/>
        <v>77561.519803643896</v>
      </c>
      <c r="H7" s="132">
        <f t="shared" si="2"/>
        <v>227815.59433803736</v>
      </c>
      <c r="I7" s="28"/>
      <c r="J7" s="39"/>
      <c r="K7" s="131" t="s">
        <v>1</v>
      </c>
      <c r="L7" s="352">
        <f t="shared" ref="L7:L11" si="4">(D7*0.19)+D7</f>
        <v>178802.34869592823</v>
      </c>
      <c r="M7" s="353">
        <f t="shared" ref="M7:M12" si="5">(G7*0.19)+G7</f>
        <v>92298.208566336238</v>
      </c>
      <c r="N7" s="353">
        <f t="shared" si="3"/>
        <v>271100.55726226448</v>
      </c>
    </row>
    <row r="8" spans="2:14" ht="17.25" customHeight="1">
      <c r="B8" s="131" t="s">
        <v>2</v>
      </c>
      <c r="C8" s="171">
        <f>Sistemes!M13</f>
        <v>419.95595936287725</v>
      </c>
      <c r="D8" s="172">
        <f t="shared" si="0"/>
        <v>153283.92516745019</v>
      </c>
      <c r="E8" s="171">
        <f>Sistemes!S13</f>
        <v>260.08095563009329</v>
      </c>
      <c r="F8" s="172">
        <f>Sistemes!C13</f>
        <v>353.35174999999998</v>
      </c>
      <c r="G8" s="172">
        <f t="shared" si="1"/>
        <v>91900.060813565811</v>
      </c>
      <c r="H8" s="132">
        <f t="shared" si="2"/>
        <v>245183.98598101601</v>
      </c>
      <c r="I8" s="28"/>
      <c r="J8" s="39"/>
      <c r="K8" s="131" t="s">
        <v>2</v>
      </c>
      <c r="L8" s="352">
        <f t="shared" si="4"/>
        <v>182407.87094926572</v>
      </c>
      <c r="M8" s="353">
        <f t="shared" si="5"/>
        <v>109361.07236814332</v>
      </c>
      <c r="N8" s="353">
        <f t="shared" si="3"/>
        <v>291768.94331740902</v>
      </c>
    </row>
    <row r="9" spans="2:14" ht="17.25" customHeight="1">
      <c r="B9" s="131" t="s">
        <v>17</v>
      </c>
      <c r="C9" s="171">
        <f>Sistemes!M14</f>
        <v>321.38580901384722</v>
      </c>
      <c r="D9" s="172">
        <f>C9*365</f>
        <v>117305.82029005424</v>
      </c>
      <c r="E9" s="171">
        <f>Sistemes!S14</f>
        <v>122.26388988491506</v>
      </c>
      <c r="F9" s="172">
        <f>Sistemes!C14</f>
        <v>259.88574999999997</v>
      </c>
      <c r="G9" s="172">
        <f t="shared" si="1"/>
        <v>31774.642720658561</v>
      </c>
      <c r="H9" s="132">
        <f t="shared" si="2"/>
        <v>149080.46301071279</v>
      </c>
      <c r="I9" s="28"/>
      <c r="J9" s="39"/>
      <c r="K9" s="131" t="s">
        <v>17</v>
      </c>
      <c r="L9" s="352">
        <f t="shared" si="4"/>
        <v>139593.92614516453</v>
      </c>
      <c r="M9" s="353">
        <f t="shared" si="5"/>
        <v>37811.824837583685</v>
      </c>
      <c r="N9" s="353">
        <f t="shared" si="3"/>
        <v>177405.75098274823</v>
      </c>
    </row>
    <row r="10" spans="2:14" ht="17.25" customHeight="1">
      <c r="B10" s="131" t="s">
        <v>4</v>
      </c>
      <c r="C10" s="171">
        <f>Sistemes!M15</f>
        <v>617.68737791811566</v>
      </c>
      <c r="D10" s="172">
        <f t="shared" si="0"/>
        <v>225455.89294011222</v>
      </c>
      <c r="E10" s="171">
        <f>Sistemes!S15</f>
        <v>253.24609648769334</v>
      </c>
      <c r="F10" s="172">
        <f>Sistemes!C15</f>
        <v>339.51675</v>
      </c>
      <c r="G10" s="172">
        <f t="shared" si="1"/>
        <v>85981.291629688058</v>
      </c>
      <c r="H10" s="132">
        <f t="shared" si="2"/>
        <v>311437.18456980027</v>
      </c>
      <c r="I10" s="28"/>
      <c r="J10" s="39"/>
      <c r="K10" s="131" t="s">
        <v>4</v>
      </c>
      <c r="L10" s="352">
        <f t="shared" si="4"/>
        <v>268292.51259873353</v>
      </c>
      <c r="M10" s="353">
        <f t="shared" si="5"/>
        <v>102317.73703932879</v>
      </c>
      <c r="N10" s="353">
        <f t="shared" si="3"/>
        <v>370610.24963806232</v>
      </c>
    </row>
    <row r="11" spans="2:14" ht="17.25" customHeight="1">
      <c r="B11" s="131" t="s">
        <v>3</v>
      </c>
      <c r="C11" s="171">
        <f>Sistemes!M16</f>
        <v>1077.5325172380144</v>
      </c>
      <c r="D11" s="172">
        <f>C11*365</f>
        <v>393299.36879187525</v>
      </c>
      <c r="E11" s="171">
        <f>Sistemes!S16</f>
        <v>230.26949134497252</v>
      </c>
      <c r="F11" s="172">
        <f>Sistemes!C16</f>
        <v>1341.3027500000001</v>
      </c>
      <c r="G11" s="172">
        <f t="shared" si="1"/>
        <v>308861.10198211286</v>
      </c>
      <c r="H11" s="132">
        <f t="shared" si="2"/>
        <v>702160.47077398817</v>
      </c>
      <c r="I11" s="28"/>
      <c r="J11" s="39"/>
      <c r="K11" s="131" t="s">
        <v>3</v>
      </c>
      <c r="L11" s="352">
        <f t="shared" si="4"/>
        <v>468026.24886233156</v>
      </c>
      <c r="M11" s="353">
        <f>(G11*0.19)+G11</f>
        <v>367544.71135871432</v>
      </c>
      <c r="N11" s="353">
        <f t="shared" si="3"/>
        <v>835570.96022104588</v>
      </c>
    </row>
    <row r="12" spans="2:14" ht="17.25" customHeight="1">
      <c r="B12" s="131" t="s">
        <v>30</v>
      </c>
      <c r="C12" s="171">
        <f>Sistemes!M17</f>
        <v>94.295428104969702</v>
      </c>
      <c r="D12" s="172">
        <f t="shared" si="0"/>
        <v>34417.831258313941</v>
      </c>
      <c r="E12" s="171">
        <f>Sistemes!S17</f>
        <v>292.79589751399129</v>
      </c>
      <c r="F12" s="172">
        <f>Sistemes!C17</f>
        <v>8.2439999999999998</v>
      </c>
      <c r="G12" s="172">
        <f t="shared" si="1"/>
        <v>2413.8093791053443</v>
      </c>
      <c r="H12" s="132">
        <f t="shared" si="2"/>
        <v>36831.640637419288</v>
      </c>
      <c r="I12" s="28"/>
      <c r="J12" s="39"/>
      <c r="K12" s="131" t="s">
        <v>30</v>
      </c>
      <c r="L12" s="352">
        <f>(D12*0.19)+D12</f>
        <v>40957.219197393591</v>
      </c>
      <c r="M12" s="353">
        <f t="shared" si="5"/>
        <v>2872.4331611353596</v>
      </c>
      <c r="N12" s="353">
        <f t="shared" si="3"/>
        <v>43829.652358528954</v>
      </c>
    </row>
    <row r="13" spans="2:14" ht="17.25" customHeight="1" thickBot="1">
      <c r="B13" s="133" t="s">
        <v>31</v>
      </c>
      <c r="C13" s="171">
        <f>Sistemes!M18</f>
        <v>97.607014175988979</v>
      </c>
      <c r="D13" s="173">
        <f t="shared" si="0"/>
        <v>35626.56017423598</v>
      </c>
      <c r="E13" s="171">
        <f>Sistemes!S18</f>
        <v>357.07295813190501</v>
      </c>
      <c r="F13" s="172">
        <f>Sistemes!C18</f>
        <v>10.659000000000001</v>
      </c>
      <c r="G13" s="172">
        <f t="shared" si="1"/>
        <v>3806.0406607279756</v>
      </c>
      <c r="H13" s="174">
        <f t="shared" si="2"/>
        <v>39432.600834963952</v>
      </c>
      <c r="I13" s="28"/>
      <c r="J13" s="39"/>
      <c r="K13" s="131" t="s">
        <v>31</v>
      </c>
      <c r="L13" s="352">
        <f>(D13*0.19)+D13</f>
        <v>42395.606607340815</v>
      </c>
      <c r="M13" s="353">
        <f t="shared" ref="M13" si="6">(G13*0.19)+G13</f>
        <v>4529.1883862662908</v>
      </c>
      <c r="N13" s="353">
        <f t="shared" ref="N13" si="7">L13+M13</f>
        <v>46924.794993607109</v>
      </c>
    </row>
    <row r="14" spans="2:14" ht="17.25" customHeight="1" thickBot="1">
      <c r="B14" s="365" t="s">
        <v>101</v>
      </c>
      <c r="C14" s="366"/>
      <c r="D14" s="366"/>
      <c r="E14" s="366"/>
      <c r="F14" s="366"/>
      <c r="G14" s="366"/>
      <c r="H14" s="33">
        <f>SUM(H5:H13)</f>
        <v>1975853.9421203344</v>
      </c>
      <c r="I14" s="28"/>
      <c r="J14" s="39"/>
      <c r="K14" s="129"/>
      <c r="L14" s="354">
        <f>SUM(L5:L13)</f>
        <v>1548492.8131342244</v>
      </c>
      <c r="M14" s="39">
        <f>SUM(M5:M13)</f>
        <v>802773.37798897363</v>
      </c>
      <c r="N14" s="39">
        <f>SUM(N5:N13)</f>
        <v>2351266.1911231987</v>
      </c>
    </row>
    <row r="15" spans="2:14" ht="17.25" customHeight="1" thickBot="1">
      <c r="B15" s="30"/>
      <c r="C15" s="30"/>
      <c r="D15" s="30"/>
      <c r="E15" s="30"/>
      <c r="F15" s="30"/>
      <c r="G15" s="30"/>
      <c r="H15" s="32"/>
      <c r="I15" s="28"/>
      <c r="J15" s="39"/>
      <c r="K15" s="62"/>
      <c r="L15" s="62"/>
      <c r="M15" s="39"/>
    </row>
    <row r="16" spans="2:14" ht="17.25" customHeight="1" thickBot="1">
      <c r="B16" s="365" t="s">
        <v>93</v>
      </c>
      <c r="C16" s="366"/>
      <c r="D16" s="366"/>
      <c r="E16" s="366"/>
      <c r="F16" s="366"/>
      <c r="G16" s="31">
        <v>0.19</v>
      </c>
      <c r="H16" s="33">
        <f>(H14)*G16</f>
        <v>375412.24900286354</v>
      </c>
      <c r="I16" s="28"/>
      <c r="J16" s="367"/>
      <c r="K16" s="367"/>
      <c r="L16" s="53"/>
      <c r="M16" s="53"/>
    </row>
    <row r="17" spans="2:13" ht="17.25" customHeight="1" thickBot="1">
      <c r="C17" s="134"/>
      <c r="H17" s="135"/>
      <c r="I17" s="28"/>
      <c r="J17" s="29"/>
      <c r="K17" s="29"/>
      <c r="L17" s="29"/>
      <c r="M17" s="29"/>
    </row>
    <row r="18" spans="2:13" ht="40.9" customHeight="1" thickBot="1">
      <c r="B18" s="377" t="s">
        <v>175</v>
      </c>
      <c r="C18" s="378"/>
      <c r="D18" s="378"/>
      <c r="E18" s="378"/>
      <c r="F18" s="378"/>
      <c r="G18" s="378"/>
      <c r="H18" s="34">
        <f>H14+H16</f>
        <v>2351266.1911231978</v>
      </c>
      <c r="I18" s="28"/>
      <c r="J18" s="76"/>
      <c r="K18" s="76"/>
      <c r="L18" s="54"/>
      <c r="M18" s="54"/>
    </row>
    <row r="19" spans="2:13" ht="17.25" customHeight="1">
      <c r="I19" s="28"/>
      <c r="J19" s="39"/>
      <c r="K19" s="39"/>
      <c r="L19" s="39"/>
      <c r="M19" s="39"/>
    </row>
    <row r="20" spans="2:13" s="51" customFormat="1" ht="31.5" customHeight="1">
      <c r="B20" s="7"/>
      <c r="C20" s="136"/>
      <c r="D20" s="136"/>
      <c r="E20" s="7"/>
      <c r="F20" s="7"/>
      <c r="G20" s="137"/>
      <c r="H20" s="7"/>
      <c r="I20" s="29"/>
      <c r="J20" s="29"/>
      <c r="K20" s="29"/>
      <c r="L20" s="29"/>
      <c r="M20" s="29"/>
    </row>
    <row r="21" spans="2:13" s="51" customFormat="1" ht="33.75" customHeight="1" thickBot="1">
      <c r="B21" s="7"/>
      <c r="C21" s="7"/>
      <c r="D21" s="7"/>
      <c r="E21" s="7"/>
      <c r="F21" s="7"/>
      <c r="G21" s="130"/>
      <c r="H21" s="7"/>
      <c r="I21" s="29"/>
    </row>
    <row r="22" spans="2:13" ht="33" customHeight="1">
      <c r="B22" s="388" t="s">
        <v>109</v>
      </c>
      <c r="C22" s="389"/>
      <c r="D22" s="389"/>
      <c r="E22" s="389"/>
      <c r="F22" s="389"/>
      <c r="G22" s="389"/>
      <c r="H22" s="389"/>
      <c r="I22" s="389"/>
      <c r="J22" s="389"/>
      <c r="K22" s="390"/>
      <c r="L22" s="52"/>
      <c r="M22" s="52"/>
    </row>
    <row r="23" spans="2:13" ht="90.75" thickBot="1">
      <c r="B23" s="371" t="s">
        <v>5</v>
      </c>
      <c r="C23" s="372"/>
      <c r="D23" s="372"/>
      <c r="E23" s="372"/>
      <c r="F23" s="372"/>
      <c r="G23" s="373"/>
      <c r="H23" s="169" t="s">
        <v>106</v>
      </c>
      <c r="I23" s="391" t="s">
        <v>107</v>
      </c>
      <c r="J23" s="391"/>
      <c r="K23" s="170" t="s">
        <v>108</v>
      </c>
      <c r="L23" s="52"/>
      <c r="M23" s="52"/>
    </row>
    <row r="24" spans="2:13" ht="15" thickBot="1">
      <c r="B24" s="374"/>
      <c r="C24" s="375"/>
      <c r="D24" s="375"/>
      <c r="E24" s="375"/>
      <c r="F24" s="375"/>
      <c r="G24" s="376"/>
      <c r="H24" s="138"/>
      <c r="I24" s="392"/>
      <c r="J24" s="392"/>
      <c r="K24" s="139">
        <f>H24*I24</f>
        <v>0</v>
      </c>
      <c r="L24" s="81"/>
      <c r="M24" s="56"/>
    </row>
    <row r="25" spans="2:13" ht="20.45" customHeight="1" thickBot="1">
      <c r="B25" s="384" t="s">
        <v>101</v>
      </c>
      <c r="C25" s="385"/>
      <c r="D25" s="385"/>
      <c r="E25" s="385"/>
      <c r="F25" s="385"/>
      <c r="G25" s="385"/>
      <c r="H25" s="118">
        <f>SUM(H24:H24)</f>
        <v>0</v>
      </c>
      <c r="I25" s="386" t="s">
        <v>101</v>
      </c>
      <c r="J25" s="387"/>
      <c r="K25" s="117">
        <f>SUM(K24:K24)</f>
        <v>0</v>
      </c>
      <c r="L25" s="61"/>
      <c r="M25" s="61"/>
    </row>
  </sheetData>
  <mergeCells count="14">
    <mergeCell ref="B25:G25"/>
    <mergeCell ref="I25:J25"/>
    <mergeCell ref="B22:K22"/>
    <mergeCell ref="I23:J23"/>
    <mergeCell ref="I24:J24"/>
    <mergeCell ref="B16:F16"/>
    <mergeCell ref="J16:K16"/>
    <mergeCell ref="C2:G3"/>
    <mergeCell ref="B23:G23"/>
    <mergeCell ref="B24:G24"/>
    <mergeCell ref="B18:G18"/>
    <mergeCell ref="B2:B4"/>
    <mergeCell ref="B14:G14"/>
    <mergeCell ref="H2:H3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66"/>
  <sheetViews>
    <sheetView zoomScale="80" zoomScaleNormal="80" workbookViewId="0">
      <selection activeCell="B11" sqref="B11"/>
    </sheetView>
  </sheetViews>
  <sheetFormatPr baseColWidth="10" defaultColWidth="11.42578125" defaultRowHeight="12.75"/>
  <cols>
    <col min="1" max="1" width="3.28515625" style="3" customWidth="1"/>
    <col min="2" max="2" width="59.7109375" style="3" customWidth="1"/>
    <col min="3" max="3" width="15.7109375" style="3" customWidth="1"/>
    <col min="4" max="4" width="13.7109375" style="3" customWidth="1"/>
    <col min="5" max="5" width="14.140625" style="3" customWidth="1"/>
    <col min="6" max="6" width="14.85546875" style="3" customWidth="1"/>
    <col min="7" max="7" width="11.42578125" style="3" bestFit="1" customWidth="1"/>
    <col min="8" max="8" width="12.85546875" style="3" bestFit="1" customWidth="1"/>
    <col min="9" max="9" width="14.85546875" style="3" customWidth="1"/>
    <col min="10" max="10" width="12.42578125" style="3" bestFit="1" customWidth="1"/>
    <col min="11" max="11" width="13.42578125" style="3" customWidth="1"/>
    <col min="12" max="12" width="11.7109375" style="3" customWidth="1"/>
    <col min="13" max="13" width="12.85546875" style="3" customWidth="1"/>
    <col min="14" max="14" width="14.28515625" style="3" bestFit="1" customWidth="1"/>
    <col min="15" max="15" width="11.85546875" style="3" customWidth="1"/>
    <col min="16" max="16" width="13.140625" style="3" customWidth="1"/>
    <col min="17" max="17" width="12.85546875" style="3" customWidth="1"/>
    <col min="18" max="18" width="13.7109375" style="3" customWidth="1"/>
    <col min="19" max="19" width="12.5703125" style="3" customWidth="1"/>
    <col min="20" max="20" width="12.7109375" style="3" customWidth="1"/>
    <col min="21" max="16384" width="11.42578125" style="3"/>
  </cols>
  <sheetData>
    <row r="1" spans="2:19" ht="13.5" thickBot="1"/>
    <row r="2" spans="2:19" s="5" customFormat="1" ht="24" customHeight="1" thickBot="1">
      <c r="B2" s="393" t="s">
        <v>19</v>
      </c>
      <c r="C2" s="393" t="s">
        <v>20</v>
      </c>
      <c r="D2" s="393" t="s">
        <v>21</v>
      </c>
      <c r="E2" s="70" t="s">
        <v>22</v>
      </c>
      <c r="F2" s="413" t="s">
        <v>172</v>
      </c>
      <c r="G2" s="417"/>
      <c r="H2" s="71"/>
    </row>
    <row r="3" spans="2:19" ht="25.5" customHeight="1" thickBot="1">
      <c r="B3" s="394"/>
      <c r="C3" s="394"/>
      <c r="D3" s="394"/>
      <c r="E3" s="64" t="s">
        <v>23</v>
      </c>
      <c r="F3" s="414"/>
      <c r="G3" s="417"/>
      <c r="J3" s="84" t="s">
        <v>24</v>
      </c>
      <c r="K3" s="84" t="s">
        <v>25</v>
      </c>
      <c r="L3" s="84" t="s">
        <v>26</v>
      </c>
      <c r="M3" s="84" t="s">
        <v>27</v>
      </c>
      <c r="N3" s="85" t="s">
        <v>97</v>
      </c>
      <c r="O3" s="85" t="s">
        <v>28</v>
      </c>
      <c r="P3" s="85" t="s">
        <v>29</v>
      </c>
      <c r="Q3" s="84" t="s">
        <v>91</v>
      </c>
      <c r="R3" s="84" t="s">
        <v>92</v>
      </c>
      <c r="S3" s="47"/>
    </row>
    <row r="4" spans="2:19" ht="15.75" customHeight="1">
      <c r="B4" s="100" t="s">
        <v>179</v>
      </c>
      <c r="C4" s="77" t="s">
        <v>167</v>
      </c>
      <c r="D4" s="101">
        <v>1</v>
      </c>
      <c r="E4" s="78">
        <v>1</v>
      </c>
      <c r="F4" s="65">
        <v>54165.339606000009</v>
      </c>
      <c r="H4" s="35"/>
      <c r="I4" s="49">
        <f t="shared" ref="I4:I19" si="0">SUM(J4:R4)</f>
        <v>1</v>
      </c>
      <c r="J4" s="86">
        <v>0.1</v>
      </c>
      <c r="K4" s="86">
        <v>0.1</v>
      </c>
      <c r="L4" s="86">
        <v>0.1</v>
      </c>
      <c r="M4" s="86">
        <v>0.2</v>
      </c>
      <c r="N4" s="86">
        <v>0.375</v>
      </c>
      <c r="O4" s="86">
        <v>2.5000000000000001E-2</v>
      </c>
      <c r="P4" s="86">
        <v>0.05</v>
      </c>
      <c r="Q4" s="86">
        <v>2.5000000000000001E-2</v>
      </c>
      <c r="R4" s="87">
        <v>2.5000000000000001E-2</v>
      </c>
      <c r="S4" s="47"/>
    </row>
    <row r="5" spans="2:19" ht="15.75" customHeight="1">
      <c r="B5" s="100" t="s">
        <v>153</v>
      </c>
      <c r="C5" s="77" t="s">
        <v>167</v>
      </c>
      <c r="D5" s="101">
        <v>1</v>
      </c>
      <c r="E5" s="78">
        <v>1</v>
      </c>
      <c r="F5" s="65">
        <v>47830.648134000003</v>
      </c>
      <c r="H5" s="35"/>
      <c r="I5" s="49">
        <f t="shared" si="0"/>
        <v>1</v>
      </c>
      <c r="J5" s="86">
        <v>0.1</v>
      </c>
      <c r="K5" s="86">
        <v>0.1</v>
      </c>
      <c r="L5" s="86">
        <v>0.1</v>
      </c>
      <c r="M5" s="86">
        <v>0.2</v>
      </c>
      <c r="N5" s="86">
        <v>0.375</v>
      </c>
      <c r="O5" s="86">
        <v>2.5000000000000001E-2</v>
      </c>
      <c r="P5" s="86">
        <v>0.05</v>
      </c>
      <c r="Q5" s="86">
        <v>2.5000000000000001E-2</v>
      </c>
      <c r="R5" s="87">
        <v>2.5000000000000001E-2</v>
      </c>
      <c r="S5" s="47"/>
    </row>
    <row r="6" spans="2:19" ht="15.75" customHeight="1">
      <c r="B6" s="451" t="s">
        <v>236</v>
      </c>
      <c r="C6" s="77" t="s">
        <v>163</v>
      </c>
      <c r="D6" s="101">
        <v>1</v>
      </c>
      <c r="E6" s="78">
        <v>1</v>
      </c>
      <c r="F6" s="65">
        <v>38000</v>
      </c>
      <c r="G6" s="59"/>
      <c r="H6" s="35"/>
      <c r="I6" s="49">
        <f t="shared" si="0"/>
        <v>1</v>
      </c>
      <c r="J6" s="86">
        <v>0.1</v>
      </c>
      <c r="K6" s="86">
        <v>0.1</v>
      </c>
      <c r="L6" s="86">
        <v>0.1</v>
      </c>
      <c r="M6" s="86">
        <v>0.2</v>
      </c>
      <c r="N6" s="86">
        <v>0.375</v>
      </c>
      <c r="O6" s="86">
        <v>2.5000000000000001E-2</v>
      </c>
      <c r="P6" s="86">
        <v>0.05</v>
      </c>
      <c r="Q6" s="86">
        <v>2.5000000000000001E-2</v>
      </c>
      <c r="R6" s="87">
        <v>2.5000000000000001E-2</v>
      </c>
      <c r="S6" s="47"/>
    </row>
    <row r="7" spans="2:19" ht="15.75" customHeight="1">
      <c r="B7" s="100" t="s">
        <v>154</v>
      </c>
      <c r="C7" s="77" t="s">
        <v>164</v>
      </c>
      <c r="D7" s="101">
        <v>1</v>
      </c>
      <c r="E7" s="78">
        <v>1</v>
      </c>
      <c r="F7" s="65">
        <v>57589.97549199999</v>
      </c>
      <c r="H7" s="35"/>
      <c r="I7" s="49">
        <f t="shared" si="0"/>
        <v>1</v>
      </c>
      <c r="J7" s="86">
        <v>0.1</v>
      </c>
      <c r="K7" s="86">
        <v>0.1</v>
      </c>
      <c r="L7" s="86">
        <v>0.1</v>
      </c>
      <c r="M7" s="86">
        <v>0.2</v>
      </c>
      <c r="N7" s="86">
        <v>0.375</v>
      </c>
      <c r="O7" s="86">
        <v>2.5000000000000001E-2</v>
      </c>
      <c r="P7" s="86">
        <v>0.05</v>
      </c>
      <c r="Q7" s="86">
        <v>2.5000000000000001E-2</v>
      </c>
      <c r="R7" s="87">
        <v>2.5000000000000001E-2</v>
      </c>
      <c r="S7" s="47"/>
    </row>
    <row r="8" spans="2:19" ht="15.75" customHeight="1">
      <c r="B8" s="100" t="s">
        <v>208</v>
      </c>
      <c r="C8" s="77" t="s">
        <v>164</v>
      </c>
      <c r="D8" s="101">
        <v>1</v>
      </c>
      <c r="E8" s="78">
        <v>1</v>
      </c>
      <c r="F8" s="65">
        <v>57100.513687999992</v>
      </c>
      <c r="H8" s="35"/>
      <c r="I8" s="49">
        <f t="shared" si="0"/>
        <v>1</v>
      </c>
      <c r="J8" s="86">
        <v>0.1</v>
      </c>
      <c r="K8" s="86">
        <v>0.1</v>
      </c>
      <c r="L8" s="86">
        <v>0.1</v>
      </c>
      <c r="M8" s="86">
        <v>0.2</v>
      </c>
      <c r="N8" s="86">
        <v>0.375</v>
      </c>
      <c r="O8" s="86">
        <v>2.5000000000000001E-2</v>
      </c>
      <c r="P8" s="86">
        <v>0.05</v>
      </c>
      <c r="Q8" s="86">
        <v>2.5000000000000001E-2</v>
      </c>
      <c r="R8" s="87">
        <v>2.5000000000000001E-2</v>
      </c>
      <c r="S8" s="47"/>
    </row>
    <row r="9" spans="2:19" ht="15.75" customHeight="1">
      <c r="B9" s="100" t="s">
        <v>238</v>
      </c>
      <c r="C9" s="77" t="s">
        <v>165</v>
      </c>
      <c r="D9" s="101">
        <v>1</v>
      </c>
      <c r="E9" s="78">
        <v>1</v>
      </c>
      <c r="F9" s="65">
        <v>35582.308612000001</v>
      </c>
      <c r="H9" s="35"/>
      <c r="I9" s="49">
        <f t="shared" si="0"/>
        <v>1</v>
      </c>
      <c r="J9" s="126">
        <f>E54</f>
        <v>0.17595308631165205</v>
      </c>
      <c r="K9" s="126">
        <f>E55</f>
        <v>0.24109423113407175</v>
      </c>
      <c r="L9" s="126">
        <f>E56</f>
        <v>5.9542051573924087E-2</v>
      </c>
      <c r="M9" s="127"/>
      <c r="N9" s="126">
        <f>E58</f>
        <v>0.44112682359694311</v>
      </c>
      <c r="O9" s="126">
        <f>E60</f>
        <v>6.2122693596797181E-2</v>
      </c>
      <c r="P9" s="126">
        <f>E61</f>
        <v>1.3134276082483253E-2</v>
      </c>
      <c r="Q9" s="126">
        <f>E62</f>
        <v>1.7512368109977671E-4</v>
      </c>
      <c r="R9" s="128">
        <f>E63</f>
        <v>6.8517140230287639E-3</v>
      </c>
      <c r="S9" s="47"/>
    </row>
    <row r="10" spans="2:19" ht="15.75" customHeight="1">
      <c r="B10" s="100" t="s">
        <v>239</v>
      </c>
      <c r="C10" s="77" t="s">
        <v>166</v>
      </c>
      <c r="D10" s="101">
        <v>1</v>
      </c>
      <c r="E10" s="78">
        <v>1</v>
      </c>
      <c r="F10" s="65">
        <v>32000</v>
      </c>
      <c r="H10" s="35"/>
      <c r="I10" s="49">
        <f t="shared" si="0"/>
        <v>1</v>
      </c>
      <c r="J10" s="126">
        <f>J9</f>
        <v>0.17595308631165205</v>
      </c>
      <c r="K10" s="126">
        <f>K9</f>
        <v>0.24109423113407175</v>
      </c>
      <c r="L10" s="126">
        <f>L9</f>
        <v>5.9542051573924087E-2</v>
      </c>
      <c r="M10" s="86"/>
      <c r="N10" s="126">
        <f>N9</f>
        <v>0.44112682359694311</v>
      </c>
      <c r="O10" s="126">
        <f>O9</f>
        <v>6.2122693596797181E-2</v>
      </c>
      <c r="P10" s="126">
        <f>P9</f>
        <v>1.3134276082483253E-2</v>
      </c>
      <c r="Q10" s="126">
        <f>Q9</f>
        <v>1.7512368109977671E-4</v>
      </c>
      <c r="R10" s="126">
        <f>R9</f>
        <v>6.8517140230287639E-3</v>
      </c>
      <c r="S10" s="47"/>
    </row>
    <row r="11" spans="2:19" ht="15.75" customHeight="1">
      <c r="B11" s="100" t="s">
        <v>156</v>
      </c>
      <c r="C11" s="77" t="s">
        <v>165</v>
      </c>
      <c r="D11" s="101">
        <v>1</v>
      </c>
      <c r="E11" s="78">
        <v>1</v>
      </c>
      <c r="F11" s="65">
        <v>34477.309475999995</v>
      </c>
      <c r="H11" s="35"/>
      <c r="I11" s="49">
        <f t="shared" si="0"/>
        <v>1</v>
      </c>
      <c r="J11" s="86"/>
      <c r="K11" s="86"/>
      <c r="L11" s="86"/>
      <c r="M11" s="86"/>
      <c r="N11" s="86">
        <v>1</v>
      </c>
      <c r="O11" s="86"/>
      <c r="P11" s="86"/>
      <c r="Q11" s="86"/>
      <c r="R11" s="87"/>
      <c r="S11" s="47"/>
    </row>
    <row r="12" spans="2:19" ht="15.75" customHeight="1">
      <c r="B12" s="100" t="s">
        <v>157</v>
      </c>
      <c r="C12" s="77" t="s">
        <v>166</v>
      </c>
      <c r="D12" s="101">
        <v>1</v>
      </c>
      <c r="E12" s="78">
        <v>1</v>
      </c>
      <c r="F12" s="65">
        <v>33367.019999999997</v>
      </c>
      <c r="H12" s="35"/>
      <c r="I12" s="49">
        <f t="shared" si="0"/>
        <v>1</v>
      </c>
      <c r="J12" s="86"/>
      <c r="K12" s="86"/>
      <c r="L12" s="86">
        <v>1</v>
      </c>
      <c r="M12" s="86"/>
      <c r="N12" s="86"/>
      <c r="O12" s="86"/>
      <c r="P12" s="86"/>
      <c r="Q12" s="86"/>
      <c r="R12" s="87"/>
      <c r="S12" s="47"/>
    </row>
    <row r="13" spans="2:19" ht="15.75" customHeight="1">
      <c r="B13" s="100" t="s">
        <v>158</v>
      </c>
      <c r="C13" s="77" t="s">
        <v>166</v>
      </c>
      <c r="D13" s="101">
        <v>1</v>
      </c>
      <c r="E13" s="78">
        <v>1</v>
      </c>
      <c r="F13" s="65">
        <v>37718.53</v>
      </c>
      <c r="H13" s="35"/>
      <c r="I13" s="49">
        <f t="shared" si="0"/>
        <v>1</v>
      </c>
      <c r="J13" s="86"/>
      <c r="K13" s="86"/>
      <c r="L13" s="86"/>
      <c r="M13" s="86"/>
      <c r="N13" s="86"/>
      <c r="O13" s="86"/>
      <c r="P13" s="86">
        <v>1</v>
      </c>
      <c r="Q13" s="86"/>
      <c r="R13" s="87"/>
      <c r="S13" s="47"/>
    </row>
    <row r="14" spans="2:19" ht="15.75" customHeight="1">
      <c r="B14" s="100" t="s">
        <v>159</v>
      </c>
      <c r="C14" s="77" t="s">
        <v>166</v>
      </c>
      <c r="D14" s="101">
        <v>1</v>
      </c>
      <c r="E14" s="78">
        <v>1</v>
      </c>
      <c r="F14" s="65">
        <v>35013.492756</v>
      </c>
      <c r="H14" s="35"/>
      <c r="I14" s="49">
        <f t="shared" si="0"/>
        <v>1</v>
      </c>
      <c r="J14" s="86"/>
      <c r="K14" s="86">
        <v>1</v>
      </c>
      <c r="L14" s="86"/>
      <c r="M14" s="86"/>
      <c r="N14" s="86"/>
      <c r="O14" s="86"/>
      <c r="P14" s="86"/>
      <c r="Q14" s="86"/>
      <c r="R14" s="87"/>
      <c r="S14" s="47"/>
    </row>
    <row r="15" spans="2:19" ht="15.75" customHeight="1">
      <c r="B15" s="100" t="s">
        <v>160</v>
      </c>
      <c r="C15" s="77" t="s">
        <v>166</v>
      </c>
      <c r="D15" s="101">
        <v>1</v>
      </c>
      <c r="E15" s="78">
        <v>1</v>
      </c>
      <c r="F15" s="65">
        <v>39917.181364000004</v>
      </c>
      <c r="H15" s="35"/>
      <c r="I15" s="49">
        <f t="shared" si="0"/>
        <v>1</v>
      </c>
      <c r="J15" s="86">
        <v>1</v>
      </c>
      <c r="K15" s="86"/>
      <c r="L15" s="86"/>
      <c r="M15" s="86"/>
      <c r="N15" s="86"/>
      <c r="O15" s="86"/>
      <c r="P15" s="86"/>
      <c r="Q15" s="86"/>
      <c r="R15" s="87"/>
      <c r="S15" s="47"/>
    </row>
    <row r="16" spans="2:19" ht="15.75" customHeight="1">
      <c r="B16" s="100" t="s">
        <v>161</v>
      </c>
      <c r="C16" s="77" t="s">
        <v>166</v>
      </c>
      <c r="D16" s="101">
        <v>1</v>
      </c>
      <c r="E16" s="78">
        <v>1</v>
      </c>
      <c r="F16" s="65">
        <v>48958.927499999998</v>
      </c>
      <c r="H16" s="35"/>
      <c r="I16" s="49">
        <f t="shared" si="0"/>
        <v>1</v>
      </c>
      <c r="J16" s="86"/>
      <c r="K16" s="86"/>
      <c r="L16" s="86"/>
      <c r="M16" s="86">
        <v>1</v>
      </c>
      <c r="N16" s="86"/>
      <c r="O16" s="86"/>
      <c r="P16" s="86"/>
      <c r="Q16" s="86"/>
      <c r="R16" s="87"/>
      <c r="S16" s="47"/>
    </row>
    <row r="17" spans="1:19" ht="15.75" customHeight="1">
      <c r="B17" s="100" t="s">
        <v>162</v>
      </c>
      <c r="C17" s="77" t="s">
        <v>165</v>
      </c>
      <c r="D17" s="101">
        <v>1</v>
      </c>
      <c r="E17" s="78">
        <v>1</v>
      </c>
      <c r="F17" s="65">
        <v>44313.723244000001</v>
      </c>
      <c r="H17" s="35"/>
      <c r="I17" s="49">
        <f t="shared" si="0"/>
        <v>1</v>
      </c>
      <c r="J17" s="86"/>
      <c r="K17" s="86"/>
      <c r="L17" s="86"/>
      <c r="M17" s="86"/>
      <c r="N17" s="86"/>
      <c r="O17" s="86">
        <v>0.34</v>
      </c>
      <c r="P17" s="86"/>
      <c r="Q17" s="86">
        <v>0.33</v>
      </c>
      <c r="R17" s="87">
        <v>0.33</v>
      </c>
      <c r="S17" s="47"/>
    </row>
    <row r="18" spans="1:19" ht="15.75" customHeight="1">
      <c r="B18" s="451" t="s">
        <v>237</v>
      </c>
      <c r="C18" s="77" t="s">
        <v>166</v>
      </c>
      <c r="D18" s="101">
        <v>1</v>
      </c>
      <c r="E18" s="78">
        <v>1</v>
      </c>
      <c r="F18" s="102">
        <v>32000</v>
      </c>
      <c r="H18" s="35"/>
      <c r="I18" s="49">
        <f t="shared" si="0"/>
        <v>1.0000000000000002</v>
      </c>
      <c r="J18" s="86">
        <v>0.14000000000000001</v>
      </c>
      <c r="K18" s="86">
        <v>0.14000000000000001</v>
      </c>
      <c r="L18" s="86">
        <v>0.14000000000000001</v>
      </c>
      <c r="M18" s="86">
        <v>0.14000000000000001</v>
      </c>
      <c r="N18" s="86">
        <v>0.15</v>
      </c>
      <c r="O18" s="86">
        <v>0.05</v>
      </c>
      <c r="P18" s="86">
        <v>0.14000000000000001</v>
      </c>
      <c r="Q18" s="86">
        <v>0.05</v>
      </c>
      <c r="R18" s="87">
        <v>0.05</v>
      </c>
      <c r="S18" s="47"/>
    </row>
    <row r="19" spans="1:19" ht="15.75" customHeight="1" thickBot="1">
      <c r="B19" s="100" t="s">
        <v>155</v>
      </c>
      <c r="C19" s="77" t="s">
        <v>166</v>
      </c>
      <c r="D19" s="101">
        <v>1</v>
      </c>
      <c r="E19" s="78">
        <v>0.5</v>
      </c>
      <c r="F19" s="102">
        <f>31000/2</f>
        <v>15500</v>
      </c>
      <c r="H19" s="35"/>
      <c r="I19" s="49">
        <f t="shared" si="0"/>
        <v>1</v>
      </c>
      <c r="J19" s="88">
        <v>0.1</v>
      </c>
      <c r="K19" s="88">
        <v>0.1</v>
      </c>
      <c r="L19" s="88">
        <v>0.1</v>
      </c>
      <c r="M19" s="88">
        <v>0.2</v>
      </c>
      <c r="N19" s="88">
        <v>0.375</v>
      </c>
      <c r="O19" s="88">
        <v>2.5000000000000001E-2</v>
      </c>
      <c r="P19" s="88">
        <v>0.05</v>
      </c>
      <c r="Q19" s="88">
        <v>2.5000000000000001E-2</v>
      </c>
      <c r="R19" s="89">
        <v>2.5000000000000001E-2</v>
      </c>
      <c r="S19" s="47"/>
    </row>
    <row r="20" spans="1:19" ht="15.75" customHeight="1" thickBot="1">
      <c r="B20" s="146"/>
      <c r="C20" s="41"/>
      <c r="D20" s="26"/>
      <c r="E20" s="147"/>
      <c r="F20" s="148"/>
      <c r="H20" s="35"/>
      <c r="I20" s="149"/>
      <c r="J20" s="18"/>
      <c r="K20" s="18"/>
      <c r="L20" s="18"/>
      <c r="M20" s="18"/>
      <c r="N20" s="18"/>
      <c r="O20" s="18"/>
      <c r="P20" s="18"/>
      <c r="Q20" s="18"/>
      <c r="R20" s="18"/>
      <c r="S20" s="47"/>
    </row>
    <row r="21" spans="1:19" ht="15.75" customHeight="1" thickBot="1">
      <c r="B21" s="395" t="s">
        <v>117</v>
      </c>
      <c r="C21" s="396"/>
      <c r="D21" s="150">
        <f>SUM(D4:D19)</f>
        <v>16</v>
      </c>
      <c r="E21" s="151"/>
      <c r="F21" s="37">
        <f>SUM(F4:F19)</f>
        <v>643534.96987200016</v>
      </c>
      <c r="H21" s="415" t="s">
        <v>103</v>
      </c>
      <c r="I21" s="416"/>
      <c r="J21" s="90">
        <f t="shared" ref="J21:R21" si="1">SUM(J4:J19)</f>
        <v>2.0919061726233044</v>
      </c>
      <c r="K21" s="90">
        <f t="shared" si="1"/>
        <v>2.2221884622681438</v>
      </c>
      <c r="L21" s="90">
        <f t="shared" si="1"/>
        <v>1.8590841031478482</v>
      </c>
      <c r="M21" s="90">
        <f t="shared" si="1"/>
        <v>2.3400000000000003</v>
      </c>
      <c r="N21" s="90">
        <f t="shared" si="1"/>
        <v>4.2822536471938868</v>
      </c>
      <c r="O21" s="90">
        <f t="shared" si="1"/>
        <v>0.66424538719359438</v>
      </c>
      <c r="P21" s="90">
        <f t="shared" si="1"/>
        <v>1.4662685521649668</v>
      </c>
      <c r="Q21" s="90">
        <f t="shared" si="1"/>
        <v>0.5303502473621996</v>
      </c>
      <c r="R21" s="91">
        <f t="shared" si="1"/>
        <v>0.54370342804605754</v>
      </c>
      <c r="S21" s="36">
        <f>SUM(J21:R21)</f>
        <v>16.000000000000004</v>
      </c>
    </row>
    <row r="22" spans="1:19" ht="15.75" customHeight="1" thickBot="1">
      <c r="J22" s="152"/>
      <c r="K22" s="152"/>
      <c r="L22" s="152"/>
      <c r="M22" s="152"/>
    </row>
    <row r="23" spans="1:19" ht="28.5" customHeight="1" thickBot="1">
      <c r="A23" s="18"/>
      <c r="B23" s="18"/>
      <c r="C23" s="18"/>
      <c r="D23" s="18"/>
      <c r="E23" s="18"/>
      <c r="F23" s="349"/>
      <c r="G23" s="18"/>
      <c r="H23" s="411" t="s">
        <v>125</v>
      </c>
      <c r="I23" s="412"/>
      <c r="J23" s="92">
        <f t="shared" ref="J23:R23" si="2">J4*$F$4+J5*$F$5+J6*$F$6+J7*$F$7+J8*$F$8+J9*$F$9+J10*$F$10+J12*$F$12+J11*$F$11+J13*$F$13+$F$14*J14+$F$15*J15+$F$16*J16+$F$17*J17+$F$18*J18+$F$19*J19</f>
        <v>83307.144836347943</v>
      </c>
      <c r="K23" s="92">
        <f t="shared" si="2"/>
        <v>82805.845181075696</v>
      </c>
      <c r="L23" s="92">
        <f t="shared" si="2"/>
        <v>68889.656996860547</v>
      </c>
      <c r="M23" s="92">
        <f t="shared" si="2"/>
        <v>107476.22288399999</v>
      </c>
      <c r="N23" s="92">
        <f t="shared" si="2"/>
        <v>170409.60745035991</v>
      </c>
      <c r="O23" s="92">
        <f t="shared" si="2"/>
        <v>27619.722876427462</v>
      </c>
      <c r="P23" s="92">
        <f t="shared" si="2"/>
        <v>56595.498545601593</v>
      </c>
      <c r="Q23" s="92">
        <f t="shared" si="2"/>
        <v>22990.025856181353</v>
      </c>
      <c r="R23" s="92">
        <f t="shared" si="2"/>
        <v>23441.245245145499</v>
      </c>
      <c r="S23" s="153">
        <f>SUM(J23:R23)</f>
        <v>643534.96987200005</v>
      </c>
    </row>
    <row r="24" spans="1:19" ht="13.5" thickBot="1">
      <c r="A24" s="18"/>
      <c r="B24" s="182" t="s">
        <v>202</v>
      </c>
      <c r="C24" s="183"/>
      <c r="D24" s="18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38.25">
      <c r="A25" s="18"/>
      <c r="B25" s="409" t="s">
        <v>168</v>
      </c>
      <c r="C25" s="186" t="s">
        <v>139</v>
      </c>
      <c r="D25" s="187" t="s">
        <v>140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3.5" thickBot="1">
      <c r="A26" s="18"/>
      <c r="B26" s="410"/>
      <c r="C26" s="188">
        <v>0.02</v>
      </c>
      <c r="D26" s="189">
        <f>(((1+C26)+((1+C26)*(1+C26))+((1+C26)*(1+C26)*(1+C26))+((1+C26)*(1+C26)*(1+C26)*(1+C26))+((1+C26)*(1+C26)*(1+C26)*(1+C26)*(1+C26)))/5)-1</f>
        <v>6.1624192640000075E-2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3.5" thickBo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26.25" thickBot="1">
      <c r="A28" s="18"/>
      <c r="B28" s="18"/>
      <c r="C28" s="18"/>
      <c r="D28" s="18"/>
      <c r="E28" s="84" t="s">
        <v>24</v>
      </c>
      <c r="F28" s="84" t="s">
        <v>25</v>
      </c>
      <c r="G28" s="84" t="s">
        <v>26</v>
      </c>
      <c r="H28" s="84" t="s">
        <v>27</v>
      </c>
      <c r="I28" s="85" t="s">
        <v>97</v>
      </c>
      <c r="J28" s="85" t="s">
        <v>28</v>
      </c>
      <c r="K28" s="85" t="s">
        <v>29</v>
      </c>
      <c r="L28" s="84" t="s">
        <v>91</v>
      </c>
      <c r="M28" s="175" t="s">
        <v>92</v>
      </c>
      <c r="N28" s="18"/>
      <c r="O28" s="18"/>
      <c r="P28" s="18"/>
      <c r="Q28" s="18"/>
      <c r="R28" s="18"/>
    </row>
    <row r="29" spans="1:19" ht="17.45" customHeight="1">
      <c r="A29" s="18"/>
      <c r="B29" s="400" t="s">
        <v>113</v>
      </c>
      <c r="C29" s="401"/>
      <c r="D29" s="402"/>
      <c r="E29" s="154">
        <f t="shared" ref="E29:M29" si="3">J23*(1+$C$26)</f>
        <v>84973.287733074903</v>
      </c>
      <c r="F29" s="154">
        <f t="shared" si="3"/>
        <v>84461.96208469721</v>
      </c>
      <c r="G29" s="154">
        <f t="shared" si="3"/>
        <v>70267.450136797765</v>
      </c>
      <c r="H29" s="154">
        <f t="shared" si="3"/>
        <v>109625.74734167999</v>
      </c>
      <c r="I29" s="154">
        <f t="shared" si="3"/>
        <v>173817.79959936711</v>
      </c>
      <c r="J29" s="154">
        <f t="shared" si="3"/>
        <v>28172.117333956012</v>
      </c>
      <c r="K29" s="154">
        <f t="shared" si="3"/>
        <v>57727.408516513628</v>
      </c>
      <c r="L29" s="154">
        <f t="shared" si="3"/>
        <v>23449.826373304983</v>
      </c>
      <c r="M29" s="155">
        <f t="shared" si="3"/>
        <v>23910.07015004841</v>
      </c>
      <c r="N29" s="18"/>
    </row>
    <row r="30" spans="1:19" ht="17.45" customHeight="1">
      <c r="A30" s="18"/>
      <c r="B30" s="403" t="s">
        <v>114</v>
      </c>
      <c r="C30" s="404"/>
      <c r="D30" s="405"/>
      <c r="E30" s="156">
        <f t="shared" ref="E30:M33" si="4">E29*(1+$C$26)</f>
        <v>86672.753487736409</v>
      </c>
      <c r="F30" s="156">
        <f t="shared" si="4"/>
        <v>86151.20132639115</v>
      </c>
      <c r="G30" s="156">
        <f t="shared" si="4"/>
        <v>71672.799139533716</v>
      </c>
      <c r="H30" s="156">
        <f t="shared" si="4"/>
        <v>111818.26228851359</v>
      </c>
      <c r="I30" s="156">
        <f t="shared" si="4"/>
        <v>177294.15559135444</v>
      </c>
      <c r="J30" s="156">
        <f t="shared" si="4"/>
        <v>28735.559680635131</v>
      </c>
      <c r="K30" s="156">
        <f t="shared" si="4"/>
        <v>58881.9566868439</v>
      </c>
      <c r="L30" s="156">
        <f t="shared" si="4"/>
        <v>23918.822900771083</v>
      </c>
      <c r="M30" s="157">
        <f t="shared" si="4"/>
        <v>24388.271553049377</v>
      </c>
      <c r="N30" s="18"/>
    </row>
    <row r="31" spans="1:19" ht="17.45" customHeight="1">
      <c r="A31" s="18"/>
      <c r="B31" s="403" t="s">
        <v>115</v>
      </c>
      <c r="C31" s="404"/>
      <c r="D31" s="405"/>
      <c r="E31" s="156">
        <f t="shared" si="4"/>
        <v>88406.208557491133</v>
      </c>
      <c r="F31" s="156">
        <f t="shared" si="4"/>
        <v>87874.225352918977</v>
      </c>
      <c r="G31" s="156">
        <f t="shared" si="4"/>
        <v>73106.255122324394</v>
      </c>
      <c r="H31" s="156">
        <f t="shared" si="4"/>
        <v>114054.62753428386</v>
      </c>
      <c r="I31" s="156">
        <f t="shared" si="4"/>
        <v>180840.03870318155</v>
      </c>
      <c r="J31" s="156">
        <f t="shared" si="4"/>
        <v>29310.270874247835</v>
      </c>
      <c r="K31" s="156">
        <f t="shared" si="4"/>
        <v>60059.595820580776</v>
      </c>
      <c r="L31" s="156">
        <f t="shared" si="4"/>
        <v>24397.199358786507</v>
      </c>
      <c r="M31" s="157">
        <f t="shared" si="4"/>
        <v>24876.036984110364</v>
      </c>
      <c r="N31" s="18"/>
    </row>
    <row r="32" spans="1:19" ht="17.45" customHeight="1">
      <c r="A32" s="18"/>
      <c r="B32" s="403" t="s">
        <v>116</v>
      </c>
      <c r="C32" s="404"/>
      <c r="D32" s="405"/>
      <c r="E32" s="156">
        <f t="shared" si="4"/>
        <v>90174.332728640962</v>
      </c>
      <c r="F32" s="156">
        <f t="shared" si="4"/>
        <v>89631.70985997736</v>
      </c>
      <c r="G32" s="156">
        <f t="shared" si="4"/>
        <v>74568.380224770881</v>
      </c>
      <c r="H32" s="156">
        <f t="shared" si="4"/>
        <v>116335.72008496954</v>
      </c>
      <c r="I32" s="156">
        <f t="shared" si="4"/>
        <v>184456.83947724517</v>
      </c>
      <c r="J32" s="156">
        <f t="shared" si="4"/>
        <v>29896.476291732793</v>
      </c>
      <c r="K32" s="156">
        <f t="shared" si="4"/>
        <v>61260.787736992395</v>
      </c>
      <c r="L32" s="156">
        <f t="shared" si="4"/>
        <v>24885.143345962239</v>
      </c>
      <c r="M32" s="157">
        <f t="shared" si="4"/>
        <v>25373.557723792572</v>
      </c>
      <c r="N32" s="18"/>
    </row>
    <row r="33" spans="1:14" ht="17.45" customHeight="1" thickBot="1">
      <c r="A33" s="18"/>
      <c r="B33" s="406" t="s">
        <v>177</v>
      </c>
      <c r="C33" s="407"/>
      <c r="D33" s="408"/>
      <c r="E33" s="158">
        <f t="shared" si="4"/>
        <v>91977.819383213777</v>
      </c>
      <c r="F33" s="158">
        <f t="shared" si="4"/>
        <v>91424.344057176902</v>
      </c>
      <c r="G33" s="158">
        <f t="shared" si="4"/>
        <v>76059.7478292663</v>
      </c>
      <c r="H33" s="158">
        <f t="shared" si="4"/>
        <v>118662.43448666894</v>
      </c>
      <c r="I33" s="158">
        <f t="shared" si="4"/>
        <v>188145.97626679006</v>
      </c>
      <c r="J33" s="158">
        <f t="shared" si="4"/>
        <v>30494.405817567451</v>
      </c>
      <c r="K33" s="158">
        <f t="shared" si="4"/>
        <v>62486.003491732241</v>
      </c>
      <c r="L33" s="158">
        <f t="shared" si="4"/>
        <v>25382.846212881483</v>
      </c>
      <c r="M33" s="181">
        <f t="shared" si="4"/>
        <v>25881.028878268422</v>
      </c>
      <c r="N33" s="18"/>
    </row>
    <row r="34" spans="1:14" ht="13.5" thickBot="1"/>
    <row r="35" spans="1:14" s="104" customFormat="1" ht="13.5" thickBot="1">
      <c r="B35" s="176" t="s">
        <v>178</v>
      </c>
      <c r="C35" s="177"/>
      <c r="D35" s="177"/>
      <c r="E35" s="178">
        <f>AVERAGE(E29:E34)</f>
        <v>88440.880378031434</v>
      </c>
      <c r="F35" s="178">
        <f t="shared" ref="F35:M35" si="5">AVERAGE(F29:F34)</f>
        <v>87908.688536232308</v>
      </c>
      <c r="G35" s="178">
        <f t="shared" si="5"/>
        <v>73134.926490538608</v>
      </c>
      <c r="H35" s="178">
        <f t="shared" si="5"/>
        <v>114099.35834722318</v>
      </c>
      <c r="I35" s="178">
        <f t="shared" si="5"/>
        <v>180910.96192758766</v>
      </c>
      <c r="J35" s="178">
        <f t="shared" si="5"/>
        <v>29321.765999627842</v>
      </c>
      <c r="K35" s="178">
        <f t="shared" si="5"/>
        <v>60083.150450532594</v>
      </c>
      <c r="L35" s="178">
        <f t="shared" si="5"/>
        <v>24406.767638341258</v>
      </c>
      <c r="M35" s="179">
        <f t="shared" si="5"/>
        <v>24885.793057853829</v>
      </c>
      <c r="N35" s="180">
        <f>SUM(E35:M35)</f>
        <v>683192.2928259687</v>
      </c>
    </row>
    <row r="37" spans="1:14" ht="13.5" thickBot="1"/>
    <row r="38" spans="1:14" ht="39" thickBot="1">
      <c r="C38" s="93" t="s">
        <v>169</v>
      </c>
    </row>
    <row r="39" spans="1:14" ht="14.25">
      <c r="B39" s="60" t="s">
        <v>24</v>
      </c>
      <c r="C39" s="65">
        <f>E35</f>
        <v>88440.880378031434</v>
      </c>
      <c r="F39" s="25"/>
    </row>
    <row r="40" spans="1:14" ht="14.25">
      <c r="B40" s="60" t="s">
        <v>28</v>
      </c>
      <c r="C40" s="159">
        <f>J35</f>
        <v>29321.765999627842</v>
      </c>
      <c r="F40" s="25"/>
    </row>
    <row r="41" spans="1:14" ht="14.25">
      <c r="B41" s="60" t="s">
        <v>25</v>
      </c>
      <c r="C41" s="65">
        <f>F35</f>
        <v>87908.688536232308</v>
      </c>
      <c r="F41" s="25"/>
    </row>
    <row r="42" spans="1:14" ht="14.25">
      <c r="B42" s="60" t="s">
        <v>95</v>
      </c>
      <c r="C42" s="65">
        <f>G35</f>
        <v>73134.926490538608</v>
      </c>
      <c r="F42" s="25"/>
    </row>
    <row r="43" spans="1:14" ht="14.25">
      <c r="B43" s="60" t="s">
        <v>29</v>
      </c>
      <c r="C43" s="65">
        <f>K35</f>
        <v>60083.150450532594</v>
      </c>
      <c r="F43" s="25"/>
    </row>
    <row r="44" spans="1:14" ht="14.25">
      <c r="B44" s="60" t="s">
        <v>96</v>
      </c>
      <c r="C44" s="65">
        <f>H35</f>
        <v>114099.35834722318</v>
      </c>
      <c r="F44" s="25"/>
    </row>
    <row r="45" spans="1:14" ht="14.25">
      <c r="B45" s="60" t="s">
        <v>97</v>
      </c>
      <c r="C45" s="65">
        <f>I35</f>
        <v>180910.96192758766</v>
      </c>
      <c r="F45" s="25"/>
    </row>
    <row r="46" spans="1:14" ht="14.25">
      <c r="B46" s="60" t="s">
        <v>91</v>
      </c>
      <c r="C46" s="65">
        <f>L35</f>
        <v>24406.767638341258</v>
      </c>
      <c r="F46" s="25"/>
    </row>
    <row r="47" spans="1:14" ht="14.25">
      <c r="B47" s="60" t="s">
        <v>92</v>
      </c>
      <c r="C47" s="65">
        <f>M35</f>
        <v>24885.793057853829</v>
      </c>
      <c r="F47" s="25"/>
    </row>
    <row r="49" spans="2:7">
      <c r="B49" s="3" t="s">
        <v>101</v>
      </c>
      <c r="C49" s="59">
        <f>SUM(C39:C48)</f>
        <v>683192.2928259687</v>
      </c>
      <c r="D49" s="59"/>
    </row>
    <row r="51" spans="2:7" ht="13.5" thickBot="1"/>
    <row r="52" spans="2:7" ht="13.5" thickBot="1">
      <c r="C52" s="397" t="s">
        <v>184</v>
      </c>
      <c r="D52" s="398"/>
      <c r="E52" s="399"/>
    </row>
    <row r="53" spans="2:7" ht="51.75" thickBot="1">
      <c r="C53" s="94" t="s">
        <v>180</v>
      </c>
      <c r="D53" s="105" t="s">
        <v>181</v>
      </c>
      <c r="E53" s="95" t="s">
        <v>182</v>
      </c>
      <c r="G53" s="40"/>
    </row>
    <row r="54" spans="2:7">
      <c r="B54" s="160" t="s">
        <v>24</v>
      </c>
      <c r="C54" s="162">
        <v>1</v>
      </c>
      <c r="D54" s="162">
        <v>5.5</v>
      </c>
      <c r="E54" s="109">
        <f>(C54*(0.5/$C$64))+(D54*(0.5/$D$64))</f>
        <v>0.17595308631165205</v>
      </c>
    </row>
    <row r="55" spans="2:7">
      <c r="B55" s="160" t="s">
        <v>25</v>
      </c>
      <c r="C55" s="162">
        <v>3</v>
      </c>
      <c r="D55" s="162">
        <v>3.4</v>
      </c>
      <c r="E55" s="109">
        <f t="shared" ref="E55:E63" si="6">(C55*(0.5/$C$64))+(D55*(0.5/$D$64))</f>
        <v>0.24109423113407175</v>
      </c>
    </row>
    <row r="56" spans="2:7">
      <c r="B56" s="160" t="s">
        <v>95</v>
      </c>
      <c r="C56" s="162">
        <v>0</v>
      </c>
      <c r="D56" s="162">
        <v>2.72</v>
      </c>
      <c r="E56" s="109">
        <f t="shared" si="6"/>
        <v>5.9542051573924087E-2</v>
      </c>
    </row>
    <row r="57" spans="2:7">
      <c r="B57" s="160" t="s">
        <v>96</v>
      </c>
      <c r="C57" s="162">
        <v>0</v>
      </c>
      <c r="D57" s="162">
        <v>0</v>
      </c>
      <c r="E57" s="109">
        <f t="shared" si="6"/>
        <v>0</v>
      </c>
    </row>
    <row r="58" spans="2:7">
      <c r="B58" s="160" t="s">
        <v>97</v>
      </c>
      <c r="C58" s="162">
        <v>4</v>
      </c>
      <c r="D58" s="162">
        <v>10</v>
      </c>
      <c r="E58" s="109">
        <f t="shared" si="6"/>
        <v>0.44112682359694311</v>
      </c>
    </row>
    <row r="59" spans="2:7">
      <c r="B59" s="160" t="s">
        <v>100</v>
      </c>
      <c r="C59" s="162">
        <v>0</v>
      </c>
      <c r="D59" s="162">
        <v>0</v>
      </c>
      <c r="E59" s="109">
        <f t="shared" si="6"/>
        <v>0</v>
      </c>
    </row>
    <row r="60" spans="2:7">
      <c r="B60" s="160" t="s">
        <v>28</v>
      </c>
      <c r="C60" s="162">
        <v>1</v>
      </c>
      <c r="D60" s="162">
        <v>0.3</v>
      </c>
      <c r="E60" s="109">
        <f t="shared" si="6"/>
        <v>6.2122693596797181E-2</v>
      </c>
    </row>
    <row r="61" spans="2:7">
      <c r="B61" s="160" t="s">
        <v>29</v>
      </c>
      <c r="C61" s="162">
        <v>0</v>
      </c>
      <c r="D61" s="162">
        <v>0.6</v>
      </c>
      <c r="E61" s="109">
        <f t="shared" si="6"/>
        <v>1.3134276082483253E-2</v>
      </c>
    </row>
    <row r="62" spans="2:7">
      <c r="B62" s="160" t="s">
        <v>91</v>
      </c>
      <c r="C62" s="162">
        <v>0</v>
      </c>
      <c r="D62" s="162">
        <v>8.0000000000000002E-3</v>
      </c>
      <c r="E62" s="109">
        <f t="shared" si="6"/>
        <v>1.7512368109977671E-4</v>
      </c>
    </row>
    <row r="63" spans="2:7" ht="13.5" thickBot="1">
      <c r="B63" s="160" t="s">
        <v>92</v>
      </c>
      <c r="C63" s="163">
        <v>0</v>
      </c>
      <c r="D63" s="163">
        <v>0.313</v>
      </c>
      <c r="E63" s="109">
        <f t="shared" si="6"/>
        <v>6.8517140230287639E-3</v>
      </c>
    </row>
    <row r="64" spans="2:7" ht="13.5" thickBot="1">
      <c r="B64" s="106" t="s">
        <v>101</v>
      </c>
      <c r="C64" s="107">
        <f>SUM(C54:C63)</f>
        <v>9</v>
      </c>
      <c r="D64" s="103">
        <f>SUM(D54:D63)</f>
        <v>22.841000000000001</v>
      </c>
      <c r="E64" s="108">
        <f>SUM(E54:E63)</f>
        <v>1</v>
      </c>
      <c r="G64" s="104"/>
    </row>
    <row r="66" spans="3:7" ht="25.5">
      <c r="C66" s="41" t="s">
        <v>183</v>
      </c>
      <c r="D66" s="41" t="s">
        <v>183</v>
      </c>
      <c r="G66" s="161"/>
    </row>
  </sheetData>
  <mergeCells count="15">
    <mergeCell ref="H23:I23"/>
    <mergeCell ref="F2:F3"/>
    <mergeCell ref="H21:I21"/>
    <mergeCell ref="G2:G3"/>
    <mergeCell ref="C2:C3"/>
    <mergeCell ref="D2:D3"/>
    <mergeCell ref="B2:B3"/>
    <mergeCell ref="B21:C21"/>
    <mergeCell ref="C52:E52"/>
    <mergeCell ref="B29:D29"/>
    <mergeCell ref="B30:D30"/>
    <mergeCell ref="B31:D31"/>
    <mergeCell ref="B32:D32"/>
    <mergeCell ref="B33:D33"/>
    <mergeCell ref="B25:B26"/>
  </mergeCells>
  <phoneticPr fontId="19" type="noConversion"/>
  <pageMargins left="0.25" right="0.25" top="0.75" bottom="0.75" header="0.3" footer="0.3"/>
  <pageSetup paperSize="8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18"/>
  <sheetViews>
    <sheetView zoomScale="90" zoomScaleNormal="90" workbookViewId="0">
      <selection activeCell="E25" sqref="E25"/>
    </sheetView>
  </sheetViews>
  <sheetFormatPr baseColWidth="10" defaultColWidth="11.42578125" defaultRowHeight="12.75"/>
  <cols>
    <col min="1" max="1" width="4.28515625" style="3" customWidth="1"/>
    <col min="2" max="2" width="24" style="3" customWidth="1"/>
    <col min="3" max="3" width="13.7109375" style="3" customWidth="1"/>
    <col min="4" max="5" width="11.42578125" style="3"/>
    <col min="6" max="8" width="10.85546875" style="3" customWidth="1"/>
    <col min="9" max="16384" width="11.42578125" style="3"/>
  </cols>
  <sheetData>
    <row r="2" spans="2:12" ht="13.5" thickBot="1"/>
    <row r="3" spans="2:12" ht="16.149999999999999" customHeight="1">
      <c r="C3" s="421" t="s">
        <v>112</v>
      </c>
      <c r="D3" s="422"/>
      <c r="E3" s="422"/>
      <c r="F3" s="422"/>
      <c r="G3" s="422"/>
      <c r="H3" s="422"/>
      <c r="I3" s="422"/>
      <c r="J3" s="422"/>
      <c r="K3" s="422"/>
      <c r="L3" s="423"/>
    </row>
    <row r="4" spans="2:12" ht="14.25">
      <c r="C4" s="418" t="s">
        <v>141</v>
      </c>
      <c r="D4" s="419"/>
      <c r="E4" s="419"/>
      <c r="F4" s="419"/>
      <c r="G4" s="419"/>
      <c r="H4" s="419" t="s">
        <v>142</v>
      </c>
      <c r="I4" s="419"/>
      <c r="J4" s="419"/>
      <c r="K4" s="419"/>
      <c r="L4" s="420"/>
    </row>
    <row r="5" spans="2:12" ht="13.5" thickBot="1">
      <c r="C5" s="121">
        <v>2020</v>
      </c>
      <c r="D5" s="119">
        <v>2021</v>
      </c>
      <c r="E5" s="119">
        <v>2022</v>
      </c>
      <c r="F5" s="119">
        <v>2023</v>
      </c>
      <c r="G5" s="122" t="s">
        <v>32</v>
      </c>
      <c r="H5" s="64">
        <v>2020</v>
      </c>
      <c r="I5" s="119">
        <v>2021</v>
      </c>
      <c r="J5" s="119">
        <v>2022</v>
      </c>
      <c r="K5" s="119">
        <v>2023</v>
      </c>
      <c r="L5" s="120" t="s">
        <v>32</v>
      </c>
    </row>
    <row r="6" spans="2:12">
      <c r="B6" s="164" t="s">
        <v>24</v>
      </c>
      <c r="C6" s="342">
        <v>30781</v>
      </c>
      <c r="D6" s="343">
        <f>283395/12</f>
        <v>23616.25</v>
      </c>
      <c r="E6" s="344">
        <v>22210</v>
      </c>
      <c r="F6" s="344">
        <f>244096/12</f>
        <v>20341.333333333332</v>
      </c>
      <c r="G6" s="345">
        <f>AVERAGE(C6:F6)</f>
        <v>24237.145833333332</v>
      </c>
      <c r="H6" s="346">
        <f t="shared" ref="H6:H14" si="0">C6/30.4</f>
        <v>1012.5328947368422</v>
      </c>
      <c r="I6" s="192">
        <f t="shared" ref="I6:I14" si="1">D6/30.4</f>
        <v>776.85032894736844</v>
      </c>
      <c r="J6" s="192">
        <f t="shared" ref="J6:J14" si="2">E6/30.4</f>
        <v>730.59210526315792</v>
      </c>
      <c r="K6" s="192">
        <f t="shared" ref="K6:K14" si="3">F6/30.4</f>
        <v>669.12280701754389</v>
      </c>
      <c r="L6" s="347">
        <f>AVERAGE(H6:K6)</f>
        <v>797.27453399122805</v>
      </c>
    </row>
    <row r="7" spans="2:12">
      <c r="B7" s="164" t="s">
        <v>28</v>
      </c>
      <c r="C7" s="166">
        <v>9298</v>
      </c>
      <c r="D7" s="114">
        <f>50331/12</f>
        <v>4194.25</v>
      </c>
      <c r="E7" s="97">
        <v>3914</v>
      </c>
      <c r="F7" s="96">
        <v>3006</v>
      </c>
      <c r="G7" s="123">
        <f>AVERAGE(C7:F7)</f>
        <v>5103.0625</v>
      </c>
      <c r="H7" s="167">
        <f t="shared" si="0"/>
        <v>305.85526315789474</v>
      </c>
      <c r="I7" s="42">
        <f t="shared" si="1"/>
        <v>137.96875</v>
      </c>
      <c r="J7" s="42">
        <f t="shared" si="2"/>
        <v>128.75</v>
      </c>
      <c r="K7" s="42">
        <f t="shared" si="3"/>
        <v>98.881578947368425</v>
      </c>
      <c r="L7" s="57">
        <f t="shared" ref="L7:L14" si="4">AVERAGE(H7:K7)</f>
        <v>167.86389802631581</v>
      </c>
    </row>
    <row r="8" spans="2:12">
      <c r="B8" s="164" t="s">
        <v>25</v>
      </c>
      <c r="C8" s="166">
        <v>35932</v>
      </c>
      <c r="D8" s="114">
        <f>314107/12</f>
        <v>26175.583333333332</v>
      </c>
      <c r="E8" s="97">
        <v>24102</v>
      </c>
      <c r="F8" s="96">
        <v>22565</v>
      </c>
      <c r="G8" s="123">
        <f t="shared" ref="G8:G14" si="5">AVERAGE(C8:F8)</f>
        <v>27193.645833333332</v>
      </c>
      <c r="H8" s="167">
        <f t="shared" si="0"/>
        <v>1181.9736842105265</v>
      </c>
      <c r="I8" s="42">
        <f t="shared" si="1"/>
        <v>861.03892543859649</v>
      </c>
      <c r="J8" s="42">
        <f t="shared" si="2"/>
        <v>792.82894736842104</v>
      </c>
      <c r="K8" s="42">
        <f t="shared" si="3"/>
        <v>742.26973684210532</v>
      </c>
      <c r="L8" s="57">
        <f t="shared" si="4"/>
        <v>894.52782346491233</v>
      </c>
    </row>
    <row r="9" spans="2:12">
      <c r="B9" s="164" t="s">
        <v>95</v>
      </c>
      <c r="C9" s="166">
        <v>31973</v>
      </c>
      <c r="D9" s="114">
        <f>351695/12</f>
        <v>29307.916666666668</v>
      </c>
      <c r="E9" s="97">
        <v>29481</v>
      </c>
      <c r="F9" s="96">
        <v>27022</v>
      </c>
      <c r="G9" s="123">
        <f t="shared" si="5"/>
        <v>29445.979166666668</v>
      </c>
      <c r="H9" s="167">
        <f t="shared" si="0"/>
        <v>1051.7434210526317</v>
      </c>
      <c r="I9" s="42">
        <f t="shared" si="1"/>
        <v>964.07620614035102</v>
      </c>
      <c r="J9" s="42">
        <f t="shared" si="2"/>
        <v>969.76973684210532</v>
      </c>
      <c r="K9" s="42">
        <f t="shared" si="3"/>
        <v>888.88157894736844</v>
      </c>
      <c r="L9" s="57">
        <f t="shared" si="4"/>
        <v>968.61773574561414</v>
      </c>
    </row>
    <row r="10" spans="2:12">
      <c r="B10" s="164" t="s">
        <v>29</v>
      </c>
      <c r="C10" s="166">
        <v>30118</v>
      </c>
      <c r="D10" s="114">
        <f>265219/12</f>
        <v>22101.583333333332</v>
      </c>
      <c r="E10" s="97">
        <v>20123</v>
      </c>
      <c r="F10" s="96">
        <v>14286</v>
      </c>
      <c r="G10" s="123">
        <f t="shared" si="5"/>
        <v>21657.145833333332</v>
      </c>
      <c r="H10" s="167">
        <f t="shared" si="0"/>
        <v>990.72368421052636</v>
      </c>
      <c r="I10" s="42">
        <f t="shared" si="1"/>
        <v>727.02576754385962</v>
      </c>
      <c r="J10" s="42">
        <f t="shared" si="2"/>
        <v>661.94078947368428</v>
      </c>
      <c r="K10" s="42">
        <f t="shared" si="3"/>
        <v>469.93421052631584</v>
      </c>
      <c r="L10" s="57">
        <f t="shared" si="4"/>
        <v>712.40611293859649</v>
      </c>
    </row>
    <row r="11" spans="2:12">
      <c r="B11" s="164" t="s">
        <v>96</v>
      </c>
      <c r="C11" s="166">
        <v>30678</v>
      </c>
      <c r="D11" s="114">
        <f>385179/12</f>
        <v>32098.25</v>
      </c>
      <c r="E11" s="97">
        <v>25181</v>
      </c>
      <c r="F11" s="96">
        <v>25215</v>
      </c>
      <c r="G11" s="123">
        <f t="shared" si="5"/>
        <v>28293.0625</v>
      </c>
      <c r="H11" s="167">
        <f t="shared" si="0"/>
        <v>1009.1447368421053</v>
      </c>
      <c r="I11" s="42">
        <f t="shared" si="1"/>
        <v>1055.8634868421052</v>
      </c>
      <c r="J11" s="42">
        <f t="shared" si="2"/>
        <v>828.32236842105272</v>
      </c>
      <c r="K11" s="42">
        <f t="shared" si="3"/>
        <v>829.44078947368428</v>
      </c>
      <c r="L11" s="57">
        <f t="shared" si="4"/>
        <v>930.69284539473688</v>
      </c>
    </row>
    <row r="12" spans="2:12">
      <c r="B12" s="164" t="s">
        <v>97</v>
      </c>
      <c r="C12" s="166">
        <v>127013</v>
      </c>
      <c r="D12" s="114">
        <f>1214219/12</f>
        <v>101184.91666666667</v>
      </c>
      <c r="E12" s="97">
        <v>116615</v>
      </c>
      <c r="F12" s="96">
        <v>102288</v>
      </c>
      <c r="G12" s="123">
        <f t="shared" si="5"/>
        <v>111775.22916666667</v>
      </c>
      <c r="H12" s="167">
        <f t="shared" si="0"/>
        <v>4178.0592105263158</v>
      </c>
      <c r="I12" s="42">
        <f t="shared" si="1"/>
        <v>3328.4512061403511</v>
      </c>
      <c r="J12" s="42">
        <f t="shared" si="2"/>
        <v>3836.0197368421054</v>
      </c>
      <c r="K12" s="42">
        <f t="shared" si="3"/>
        <v>3364.7368421052633</v>
      </c>
      <c r="L12" s="57">
        <f t="shared" si="4"/>
        <v>3676.8167489035091</v>
      </c>
    </row>
    <row r="13" spans="2:12">
      <c r="B13" s="164" t="s">
        <v>91</v>
      </c>
      <c r="C13" s="166">
        <v>557</v>
      </c>
      <c r="D13" s="115">
        <v>686</v>
      </c>
      <c r="E13" s="97">
        <v>665</v>
      </c>
      <c r="F13" s="96">
        <v>840</v>
      </c>
      <c r="G13" s="123">
        <f t="shared" si="5"/>
        <v>687</v>
      </c>
      <c r="H13" s="167">
        <f t="shared" si="0"/>
        <v>18.322368421052634</v>
      </c>
      <c r="I13" s="42">
        <f t="shared" si="1"/>
        <v>22.565789473684212</v>
      </c>
      <c r="J13" s="42">
        <f t="shared" si="2"/>
        <v>21.875</v>
      </c>
      <c r="K13" s="42">
        <f t="shared" si="3"/>
        <v>27.631578947368421</v>
      </c>
      <c r="L13" s="57">
        <f t="shared" si="4"/>
        <v>22.598684210526319</v>
      </c>
    </row>
    <row r="14" spans="2:12" ht="13.5" thickBot="1">
      <c r="B14" s="164" t="s">
        <v>92</v>
      </c>
      <c r="C14" s="124">
        <v>1474</v>
      </c>
      <c r="D14" s="116">
        <v>610</v>
      </c>
      <c r="E14" s="98">
        <v>765</v>
      </c>
      <c r="F14" s="99">
        <v>704</v>
      </c>
      <c r="G14" s="125">
        <f t="shared" si="5"/>
        <v>888.25</v>
      </c>
      <c r="H14" s="168">
        <f t="shared" si="0"/>
        <v>48.486842105263158</v>
      </c>
      <c r="I14" s="58">
        <f t="shared" si="1"/>
        <v>20.065789473684212</v>
      </c>
      <c r="J14" s="58">
        <f t="shared" si="2"/>
        <v>25.164473684210527</v>
      </c>
      <c r="K14" s="58">
        <f t="shared" si="3"/>
        <v>23.157894736842106</v>
      </c>
      <c r="L14" s="348">
        <f t="shared" si="4"/>
        <v>29.21875</v>
      </c>
    </row>
    <row r="15" spans="2:12" ht="13.5" thickBot="1">
      <c r="G15" s="56"/>
      <c r="H15" s="56"/>
    </row>
    <row r="16" spans="2:12" ht="13.5" thickBot="1">
      <c r="B16" s="3" t="s">
        <v>101</v>
      </c>
      <c r="C16" s="79">
        <f>SUM(C5:C14)</f>
        <v>299844</v>
      </c>
      <c r="D16" s="190">
        <f>SUM(D6:D14)</f>
        <v>239974.75</v>
      </c>
      <c r="E16" s="79">
        <f>SUM(E6:E14)</f>
        <v>243056</v>
      </c>
      <c r="F16" s="191">
        <f>SUM(F6:F14)</f>
        <v>216267.33333333331</v>
      </c>
      <c r="G16" s="56"/>
      <c r="H16" s="56"/>
    </row>
    <row r="18" spans="6:6">
      <c r="F18" s="165"/>
    </row>
  </sheetData>
  <mergeCells count="3">
    <mergeCell ref="C4:G4"/>
    <mergeCell ref="H4:L4"/>
    <mergeCell ref="C3:L3"/>
  </mergeCells>
  <phoneticPr fontId="19" type="noConversion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18"/>
  <sheetViews>
    <sheetView workbookViewId="0">
      <selection activeCell="E24" sqref="E24"/>
    </sheetView>
  </sheetViews>
  <sheetFormatPr baseColWidth="10" defaultColWidth="11.42578125" defaultRowHeight="12.75"/>
  <cols>
    <col min="1" max="1" width="3.7109375" customWidth="1"/>
    <col min="2" max="2" width="32.85546875" bestFit="1" customWidth="1"/>
    <col min="3" max="4" width="16.85546875" customWidth="1"/>
    <col min="5" max="5" width="17.28515625" customWidth="1"/>
    <col min="6" max="6" width="17.42578125" customWidth="1"/>
    <col min="7" max="7" width="15.42578125" customWidth="1"/>
    <col min="8" max="9" width="17.42578125" customWidth="1"/>
    <col min="10" max="10" width="4" customWidth="1"/>
  </cols>
  <sheetData>
    <row r="2" spans="2:9">
      <c r="B2" t="s">
        <v>143</v>
      </c>
      <c r="C2" s="48">
        <v>4.1000000000000002E-2</v>
      </c>
      <c r="D2" t="s">
        <v>173</v>
      </c>
    </row>
    <row r="3" spans="2:9">
      <c r="B3" t="s">
        <v>144</v>
      </c>
      <c r="C3" s="48">
        <v>15.5</v>
      </c>
    </row>
    <row r="4" spans="2:9">
      <c r="B4" t="s">
        <v>146</v>
      </c>
      <c r="C4" s="48">
        <v>3.9</v>
      </c>
    </row>
    <row r="5" spans="2:9">
      <c r="B5" t="s">
        <v>147</v>
      </c>
      <c r="C5" s="48">
        <v>0.15</v>
      </c>
    </row>
    <row r="6" spans="2:9" ht="13.5" thickBot="1"/>
    <row r="7" spans="2:9" ht="72.599999999999994" customHeight="1" thickBot="1">
      <c r="B7" s="204" t="s">
        <v>5</v>
      </c>
      <c r="C7" s="94" t="s">
        <v>118</v>
      </c>
      <c r="D7" s="85" t="s">
        <v>133</v>
      </c>
      <c r="E7" s="85" t="s">
        <v>120</v>
      </c>
      <c r="F7" s="95" t="s">
        <v>119</v>
      </c>
      <c r="G7" s="85" t="s">
        <v>131</v>
      </c>
      <c r="H7" s="85" t="s">
        <v>130</v>
      </c>
      <c r="I7" s="95" t="s">
        <v>145</v>
      </c>
    </row>
    <row r="8" spans="2:9">
      <c r="B8" s="205" t="s">
        <v>24</v>
      </c>
      <c r="C8" s="208">
        <v>318740</v>
      </c>
      <c r="D8" s="192"/>
      <c r="E8" s="193">
        <v>560</v>
      </c>
      <c r="F8" s="209"/>
      <c r="G8" s="201">
        <f t="shared" ref="G8:G14" si="0">C8*$C$2</f>
        <v>13068.34</v>
      </c>
      <c r="H8" s="195">
        <f t="shared" ref="H8:H14" si="1">E8*$C$4</f>
        <v>2184</v>
      </c>
      <c r="I8" s="196">
        <f t="shared" ref="I8:I14" si="2">F8*$C$5</f>
        <v>0</v>
      </c>
    </row>
    <row r="9" spans="2:9">
      <c r="B9" s="206" t="s">
        <v>28</v>
      </c>
      <c r="C9" s="210">
        <v>28700</v>
      </c>
      <c r="D9" s="42"/>
      <c r="E9" s="21">
        <v>63</v>
      </c>
      <c r="F9" s="211">
        <v>1440.6666666666667</v>
      </c>
      <c r="G9" s="202">
        <f t="shared" si="0"/>
        <v>1176.7</v>
      </c>
      <c r="H9" s="197">
        <f t="shared" si="1"/>
        <v>245.7</v>
      </c>
      <c r="I9" s="198">
        <f t="shared" si="2"/>
        <v>216.1</v>
      </c>
    </row>
    <row r="10" spans="2:9">
      <c r="B10" s="206" t="s">
        <v>25</v>
      </c>
      <c r="C10" s="210">
        <v>433880.00000000006</v>
      </c>
      <c r="D10" s="42"/>
      <c r="E10" s="21">
        <v>546.5</v>
      </c>
      <c r="F10" s="211"/>
      <c r="G10" s="202">
        <f t="shared" si="0"/>
        <v>17789.080000000002</v>
      </c>
      <c r="H10" s="197">
        <f t="shared" si="1"/>
        <v>2131.35</v>
      </c>
      <c r="I10" s="198">
        <f t="shared" si="2"/>
        <v>0</v>
      </c>
    </row>
    <row r="11" spans="2:9">
      <c r="B11" s="206" t="s">
        <v>95</v>
      </c>
      <c r="C11" s="210">
        <v>479530.00000000006</v>
      </c>
      <c r="D11" s="42"/>
      <c r="E11" s="21">
        <v>719</v>
      </c>
      <c r="F11" s="211">
        <v>25000</v>
      </c>
      <c r="G11" s="202">
        <f t="shared" si="0"/>
        <v>19660.730000000003</v>
      </c>
      <c r="H11" s="197">
        <f t="shared" si="1"/>
        <v>2804.1</v>
      </c>
      <c r="I11" s="198">
        <f t="shared" si="2"/>
        <v>3750</v>
      </c>
    </row>
    <row r="12" spans="2:9">
      <c r="B12" s="206" t="s">
        <v>29</v>
      </c>
      <c r="C12" s="210">
        <v>161019.99999999997</v>
      </c>
      <c r="D12" s="42"/>
      <c r="E12" s="21">
        <v>299.33333333333331</v>
      </c>
      <c r="F12" s="211"/>
      <c r="G12" s="202">
        <f t="shared" si="0"/>
        <v>6601.8199999999988</v>
      </c>
      <c r="H12" s="197">
        <f t="shared" si="1"/>
        <v>1167.3999999999999</v>
      </c>
      <c r="I12" s="198">
        <f t="shared" si="2"/>
        <v>0</v>
      </c>
    </row>
    <row r="13" spans="2:9">
      <c r="B13" s="206" t="s">
        <v>96</v>
      </c>
      <c r="C13" s="210">
        <v>283690</v>
      </c>
      <c r="D13" s="42"/>
      <c r="E13" s="21">
        <v>598</v>
      </c>
      <c r="F13" s="211"/>
      <c r="G13" s="202">
        <f t="shared" si="0"/>
        <v>11631.29</v>
      </c>
      <c r="H13" s="197">
        <f t="shared" si="1"/>
        <v>2332.1999999999998</v>
      </c>
      <c r="I13" s="198">
        <f t="shared" si="2"/>
        <v>0</v>
      </c>
    </row>
    <row r="14" spans="2:9">
      <c r="B14" s="206" t="s">
        <v>97</v>
      </c>
      <c r="C14" s="210">
        <v>2300449.9999999995</v>
      </c>
      <c r="D14" s="42"/>
      <c r="E14" s="21">
        <v>4400</v>
      </c>
      <c r="F14" s="211">
        <v>6195</v>
      </c>
      <c r="G14" s="202">
        <f t="shared" si="0"/>
        <v>94318.449999999983</v>
      </c>
      <c r="H14" s="197">
        <f t="shared" si="1"/>
        <v>17160</v>
      </c>
      <c r="I14" s="198">
        <f t="shared" si="2"/>
        <v>929.25</v>
      </c>
    </row>
    <row r="15" spans="2:9">
      <c r="B15" s="206" t="s">
        <v>98</v>
      </c>
      <c r="C15" s="160"/>
      <c r="D15" s="42">
        <v>58</v>
      </c>
      <c r="E15" s="20"/>
      <c r="F15" s="211"/>
      <c r="G15" s="202">
        <f t="shared" ref="G15:G16" si="3">D15*$C$3</f>
        <v>899</v>
      </c>
      <c r="H15" s="197"/>
      <c r="I15" s="198"/>
    </row>
    <row r="16" spans="2:9" ht="13.5" thickBot="1">
      <c r="B16" s="207" t="s">
        <v>99</v>
      </c>
      <c r="C16" s="212"/>
      <c r="D16" s="58">
        <v>75</v>
      </c>
      <c r="E16" s="194"/>
      <c r="F16" s="213"/>
      <c r="G16" s="203">
        <f t="shared" si="3"/>
        <v>1162.5</v>
      </c>
      <c r="H16" s="199"/>
      <c r="I16" s="200"/>
    </row>
    <row r="17" spans="2:9" ht="13.5" thickBot="1"/>
    <row r="18" spans="2:9" ht="13.5" thickBot="1">
      <c r="B18" s="214" t="s">
        <v>101</v>
      </c>
      <c r="C18" s="215">
        <f t="shared" ref="C18:I18" si="4">SUM(C8:C17)</f>
        <v>4006009.9999999995</v>
      </c>
      <c r="D18" s="215">
        <f t="shared" si="4"/>
        <v>133</v>
      </c>
      <c r="E18" s="215">
        <f t="shared" si="4"/>
        <v>7185.8333333333339</v>
      </c>
      <c r="F18" s="215">
        <f t="shared" si="4"/>
        <v>32635.666666666668</v>
      </c>
      <c r="G18" s="216">
        <f t="shared" si="4"/>
        <v>166307.90999999997</v>
      </c>
      <c r="H18" s="216">
        <f t="shared" si="4"/>
        <v>28024.75</v>
      </c>
      <c r="I18" s="217">
        <f t="shared" si="4"/>
        <v>4895.3500000000004</v>
      </c>
    </row>
  </sheetData>
  <phoneticPr fontId="19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8CB0A-6938-4AFE-9DFD-B79587F584EB}">
  <dimension ref="B1:Q38"/>
  <sheetViews>
    <sheetView workbookViewId="0">
      <pane xSplit="2" topLeftCell="C1" activePane="topRight" state="frozen"/>
      <selection pane="topRight" activeCell="E27" sqref="E27"/>
    </sheetView>
  </sheetViews>
  <sheetFormatPr baseColWidth="10" defaultColWidth="11.42578125" defaultRowHeight="12.75"/>
  <cols>
    <col min="1" max="1" width="2.28515625" style="3" customWidth="1"/>
    <col min="2" max="2" width="32.85546875" style="6" customWidth="1"/>
    <col min="3" max="3" width="22.140625" style="3" customWidth="1"/>
    <col min="4" max="4" width="20.140625" style="3" customWidth="1"/>
    <col min="5" max="5" width="34.5703125" style="3" customWidth="1"/>
    <col min="6" max="6" width="18.85546875" style="3" customWidth="1"/>
    <col min="7" max="7" width="33.28515625" style="3" customWidth="1"/>
    <col min="8" max="8" width="14.140625" style="3" customWidth="1"/>
    <col min="9" max="9" width="11.42578125" style="3"/>
    <col min="10" max="10" width="16.140625" style="3" customWidth="1"/>
    <col min="11" max="11" width="11.42578125" style="3"/>
    <col min="12" max="12" width="14.28515625" style="3" customWidth="1"/>
    <col min="13" max="13" width="2.7109375" style="3" customWidth="1"/>
    <col min="14" max="14" width="13.5703125" style="3" customWidth="1"/>
    <col min="15" max="17" width="13.140625" style="3" customWidth="1"/>
    <col min="18" max="18" width="11.42578125" style="3"/>
    <col min="19" max="19" width="18.28515625" style="3" customWidth="1"/>
    <col min="20" max="16384" width="11.42578125" style="3"/>
  </cols>
  <sheetData>
    <row r="1" spans="2:17" ht="13.5" thickBot="1">
      <c r="N1" s="43" t="s">
        <v>121</v>
      </c>
    </row>
    <row r="2" spans="2:17">
      <c r="N2" s="426" t="s">
        <v>122</v>
      </c>
      <c r="O2" s="428" t="s">
        <v>220</v>
      </c>
      <c r="P2" s="41"/>
    </row>
    <row r="3" spans="2:17" s="7" customFormat="1" ht="54.6" customHeight="1" thickBot="1">
      <c r="B3" s="8" t="s">
        <v>5</v>
      </c>
      <c r="C3" s="1" t="s">
        <v>33</v>
      </c>
      <c r="D3" s="1" t="s">
        <v>35</v>
      </c>
      <c r="E3" s="1" t="s">
        <v>34</v>
      </c>
      <c r="F3" s="1" t="s">
        <v>36</v>
      </c>
      <c r="G3" s="1" t="s">
        <v>37</v>
      </c>
      <c r="H3" s="44" t="s">
        <v>38</v>
      </c>
      <c r="I3" s="44" t="s">
        <v>123</v>
      </c>
      <c r="J3" s="44" t="s">
        <v>124</v>
      </c>
      <c r="K3" s="5" t="s">
        <v>89</v>
      </c>
      <c r="L3" s="5" t="s">
        <v>90</v>
      </c>
      <c r="N3" s="427"/>
      <c r="O3" s="429"/>
      <c r="P3" s="41"/>
    </row>
    <row r="4" spans="2:17" s="7" customFormat="1" ht="25.5">
      <c r="B4" s="9" t="s">
        <v>42</v>
      </c>
      <c r="C4" s="10" t="s">
        <v>43</v>
      </c>
      <c r="D4" s="10" t="s">
        <v>40</v>
      </c>
      <c r="E4" s="350" t="s">
        <v>221</v>
      </c>
      <c r="F4" s="13">
        <v>82033803781</v>
      </c>
      <c r="G4" s="10" t="s">
        <v>44</v>
      </c>
      <c r="H4" s="11" t="s">
        <v>45</v>
      </c>
      <c r="I4" s="12">
        <v>126784</v>
      </c>
      <c r="J4" s="12">
        <v>13265</v>
      </c>
      <c r="K4" s="17">
        <f t="shared" ref="K4:K20" si="0">+I4/SQRT(POWER(I4,2)+POWER(J4,2))</f>
        <v>0.99457115063259016</v>
      </c>
      <c r="L4" s="18" t="b">
        <f t="shared" ref="L4:L20" si="1">IF(K4&lt;0.95,"SI")</f>
        <v>0</v>
      </c>
      <c r="N4" s="228">
        <v>1684.0629032258066</v>
      </c>
      <c r="O4" s="228">
        <f>I4*0.2</f>
        <v>25356.800000000003</v>
      </c>
      <c r="P4" s="49"/>
    </row>
    <row r="5" spans="2:17" s="7" customFormat="1" ht="25.5">
      <c r="B5" s="9" t="s">
        <v>46</v>
      </c>
      <c r="C5" s="10" t="s">
        <v>43</v>
      </c>
      <c r="D5" s="10" t="s">
        <v>40</v>
      </c>
      <c r="E5" s="350" t="s">
        <v>222</v>
      </c>
      <c r="F5" s="13">
        <v>82033803927</v>
      </c>
      <c r="G5" s="10" t="s">
        <v>47</v>
      </c>
      <c r="H5" s="11" t="s">
        <v>45</v>
      </c>
      <c r="I5" s="12">
        <v>61796</v>
      </c>
      <c r="J5" s="12">
        <v>6592</v>
      </c>
      <c r="K5" s="17">
        <f t="shared" si="0"/>
        <v>0.99435847644859887</v>
      </c>
      <c r="L5" s="18" t="b">
        <f t="shared" si="1"/>
        <v>0</v>
      </c>
      <c r="N5" s="228">
        <v>506.52580645161299</v>
      </c>
      <c r="O5" s="228">
        <f t="shared" ref="O5:O20" si="2">I5*0.2</f>
        <v>12359.2</v>
      </c>
      <c r="P5" s="49"/>
    </row>
    <row r="6" spans="2:17" s="7" customFormat="1" ht="25.5">
      <c r="B6" s="9" t="s">
        <v>48</v>
      </c>
      <c r="C6" s="14" t="s">
        <v>43</v>
      </c>
      <c r="D6" s="10" t="s">
        <v>40</v>
      </c>
      <c r="E6" s="350" t="s">
        <v>223</v>
      </c>
      <c r="F6" s="14">
        <v>476599416</v>
      </c>
      <c r="G6" s="14" t="s">
        <v>49</v>
      </c>
      <c r="H6" s="11" t="s">
        <v>50</v>
      </c>
      <c r="I6" s="12">
        <v>214641</v>
      </c>
      <c r="J6" s="12">
        <v>121137</v>
      </c>
      <c r="K6" s="17">
        <f t="shared" si="0"/>
        <v>0.87087868089669762</v>
      </c>
      <c r="L6" s="18" t="str">
        <f t="shared" si="1"/>
        <v>SI</v>
      </c>
      <c r="N6" s="228">
        <v>2678.9822580645164</v>
      </c>
      <c r="O6" s="228">
        <f t="shared" si="2"/>
        <v>42928.200000000004</v>
      </c>
      <c r="P6" s="49"/>
    </row>
    <row r="7" spans="2:17" s="7" customFormat="1" ht="25.5">
      <c r="B7" s="45" t="s">
        <v>51</v>
      </c>
      <c r="C7" s="14" t="s">
        <v>43</v>
      </c>
      <c r="D7" s="10" t="s">
        <v>40</v>
      </c>
      <c r="E7" s="350" t="s">
        <v>224</v>
      </c>
      <c r="F7" s="14">
        <v>476600789</v>
      </c>
      <c r="G7" s="14" t="s">
        <v>52</v>
      </c>
      <c r="H7" s="11" t="s">
        <v>50</v>
      </c>
      <c r="I7" s="12">
        <v>28985</v>
      </c>
      <c r="J7" s="12">
        <v>3857</v>
      </c>
      <c r="K7" s="17">
        <f t="shared" si="0"/>
        <v>0.99126221569275419</v>
      </c>
      <c r="L7" s="18" t="b">
        <f t="shared" si="1"/>
        <v>0</v>
      </c>
      <c r="N7" s="228">
        <v>543.61451612903227</v>
      </c>
      <c r="O7" s="228">
        <f t="shared" si="2"/>
        <v>5797</v>
      </c>
      <c r="P7" s="49"/>
    </row>
    <row r="8" spans="2:17" s="7" customFormat="1">
      <c r="B8" s="45" t="s">
        <v>53</v>
      </c>
      <c r="C8" s="14" t="s">
        <v>54</v>
      </c>
      <c r="D8" s="10" t="s">
        <v>40</v>
      </c>
      <c r="E8" s="10" t="s">
        <v>225</v>
      </c>
      <c r="F8" s="14">
        <v>476602798</v>
      </c>
      <c r="G8" s="14" t="s">
        <v>55</v>
      </c>
      <c r="H8" s="11" t="s">
        <v>50</v>
      </c>
      <c r="I8" s="12">
        <v>5071</v>
      </c>
      <c r="J8" s="12">
        <v>4756</v>
      </c>
      <c r="K8" s="17">
        <f t="shared" si="0"/>
        <v>0.72939813652577834</v>
      </c>
      <c r="L8" s="18" t="str">
        <f t="shared" si="1"/>
        <v>SI</v>
      </c>
      <c r="N8" s="228">
        <v>400.79354838709679</v>
      </c>
      <c r="O8" s="228">
        <f t="shared" si="2"/>
        <v>1014.2</v>
      </c>
      <c r="P8" s="49"/>
    </row>
    <row r="9" spans="2:17" s="7" customFormat="1">
      <c r="B9" s="45" t="s">
        <v>56</v>
      </c>
      <c r="C9" s="14" t="s">
        <v>57</v>
      </c>
      <c r="D9" s="10" t="s">
        <v>40</v>
      </c>
      <c r="E9" s="10" t="s">
        <v>226</v>
      </c>
      <c r="F9" s="14">
        <v>476594730</v>
      </c>
      <c r="G9" s="14" t="s">
        <v>58</v>
      </c>
      <c r="H9" s="11" t="s">
        <v>50</v>
      </c>
      <c r="I9" s="12">
        <v>3407</v>
      </c>
      <c r="J9" s="12">
        <v>3423</v>
      </c>
      <c r="K9" s="17">
        <f t="shared" si="0"/>
        <v>0.70544837281430506</v>
      </c>
      <c r="L9" s="18" t="str">
        <f t="shared" si="1"/>
        <v>SI</v>
      </c>
      <c r="N9" s="228">
        <v>267.24843750000002</v>
      </c>
      <c r="O9" s="228">
        <f t="shared" si="2"/>
        <v>681.40000000000009</v>
      </c>
      <c r="P9" s="49"/>
    </row>
    <row r="10" spans="2:17" ht="25.5">
      <c r="B10" s="9" t="s">
        <v>59</v>
      </c>
      <c r="C10" s="10" t="s">
        <v>43</v>
      </c>
      <c r="D10" s="10" t="s">
        <v>40</v>
      </c>
      <c r="E10" s="350" t="s">
        <v>227</v>
      </c>
      <c r="F10" s="13">
        <v>82033803585</v>
      </c>
      <c r="G10" s="10" t="s">
        <v>60</v>
      </c>
      <c r="H10" s="11" t="s">
        <v>61</v>
      </c>
      <c r="I10" s="12">
        <v>283848</v>
      </c>
      <c r="J10" s="15">
        <v>91120</v>
      </c>
      <c r="K10" s="17">
        <f t="shared" si="0"/>
        <v>0.9521426923090679</v>
      </c>
      <c r="L10" s="18" t="b">
        <f t="shared" si="1"/>
        <v>0</v>
      </c>
      <c r="N10" s="226">
        <v>6888.9629032258072</v>
      </c>
      <c r="O10" s="228">
        <f t="shared" si="2"/>
        <v>56769.600000000006</v>
      </c>
      <c r="P10" s="50"/>
      <c r="Q10" s="7"/>
    </row>
    <row r="11" spans="2:17" ht="25.5">
      <c r="B11" s="9" t="s">
        <v>62</v>
      </c>
      <c r="C11" s="10" t="s">
        <v>39</v>
      </c>
      <c r="D11" s="10" t="s">
        <v>40</v>
      </c>
      <c r="E11" s="350" t="s">
        <v>228</v>
      </c>
      <c r="F11" s="16">
        <v>1421703000343</v>
      </c>
      <c r="G11" s="10" t="s">
        <v>63</v>
      </c>
      <c r="H11" s="11" t="s">
        <v>64</v>
      </c>
      <c r="I11" s="12">
        <v>101806</v>
      </c>
      <c r="J11" s="15">
        <v>23196</v>
      </c>
      <c r="K11" s="17">
        <f t="shared" si="0"/>
        <v>0.97501210317989062</v>
      </c>
      <c r="L11" s="18" t="b">
        <f t="shared" si="1"/>
        <v>0</v>
      </c>
      <c r="N11" s="226">
        <v>5633.3629032258068</v>
      </c>
      <c r="O11" s="228">
        <f t="shared" si="2"/>
        <v>20361.2</v>
      </c>
      <c r="P11" s="50"/>
      <c r="Q11" s="7"/>
    </row>
    <row r="12" spans="2:17" s="7" customFormat="1" ht="25.5">
      <c r="B12" s="9" t="s">
        <v>65</v>
      </c>
      <c r="C12" s="10" t="s">
        <v>43</v>
      </c>
      <c r="D12" s="10" t="s">
        <v>40</v>
      </c>
      <c r="E12" s="350" t="s">
        <v>229</v>
      </c>
      <c r="F12" s="16">
        <v>1421703000342</v>
      </c>
      <c r="G12" s="10" t="s">
        <v>66</v>
      </c>
      <c r="H12" s="11" t="s">
        <v>67</v>
      </c>
      <c r="I12" s="12">
        <v>53743</v>
      </c>
      <c r="J12" s="12">
        <v>912</v>
      </c>
      <c r="K12" s="17">
        <f t="shared" si="0"/>
        <v>0.99985604654770932</v>
      </c>
      <c r="L12" s="18" t="b">
        <f t="shared" si="1"/>
        <v>0</v>
      </c>
      <c r="N12" s="228">
        <v>1148.2193548387095</v>
      </c>
      <c r="O12" s="228">
        <f t="shared" si="2"/>
        <v>10748.6</v>
      </c>
      <c r="P12" s="49"/>
    </row>
    <row r="13" spans="2:17" s="7" customFormat="1" ht="25.5">
      <c r="B13" s="9" t="s">
        <v>68</v>
      </c>
      <c r="C13" s="10" t="s">
        <v>39</v>
      </c>
      <c r="D13" s="10" t="s">
        <v>40</v>
      </c>
      <c r="E13" s="350" t="s">
        <v>230</v>
      </c>
      <c r="F13" s="10">
        <v>552708161</v>
      </c>
      <c r="G13" s="10" t="s">
        <v>69</v>
      </c>
      <c r="H13" s="11" t="s">
        <v>41</v>
      </c>
      <c r="I13" s="12">
        <v>318129</v>
      </c>
      <c r="J13" s="12">
        <v>23599</v>
      </c>
      <c r="K13" s="17">
        <f t="shared" si="0"/>
        <v>0.99725992263698826</v>
      </c>
      <c r="L13" s="18" t="b">
        <f t="shared" si="1"/>
        <v>0</v>
      </c>
      <c r="N13" s="228">
        <v>7122.5629032258057</v>
      </c>
      <c r="O13" s="228">
        <f t="shared" si="2"/>
        <v>63625.8</v>
      </c>
      <c r="P13" s="49"/>
    </row>
    <row r="14" spans="2:17" s="7" customFormat="1" ht="25.5">
      <c r="B14" s="9" t="s">
        <v>70</v>
      </c>
      <c r="C14" s="10" t="s">
        <v>39</v>
      </c>
      <c r="D14" s="10" t="s">
        <v>40</v>
      </c>
      <c r="E14" s="350" t="s">
        <v>231</v>
      </c>
      <c r="F14" s="13">
        <v>554421318</v>
      </c>
      <c r="G14" s="10" t="s">
        <v>71</v>
      </c>
      <c r="H14" s="11" t="s">
        <v>41</v>
      </c>
      <c r="I14" s="12">
        <v>725652</v>
      </c>
      <c r="J14" s="12">
        <v>77611</v>
      </c>
      <c r="K14" s="17">
        <f t="shared" si="0"/>
        <v>0.99432908382481899</v>
      </c>
      <c r="L14" s="18" t="b">
        <f t="shared" si="1"/>
        <v>0</v>
      </c>
      <c r="N14" s="228">
        <v>9462.2129032258053</v>
      </c>
      <c r="O14" s="228">
        <f t="shared" si="2"/>
        <v>145130.4</v>
      </c>
      <c r="P14" s="49"/>
    </row>
    <row r="15" spans="2:17" s="7" customFormat="1" ht="25.5">
      <c r="B15" s="9" t="s">
        <v>72</v>
      </c>
      <c r="C15" s="10" t="s">
        <v>43</v>
      </c>
      <c r="D15" s="10" t="s">
        <v>40</v>
      </c>
      <c r="E15" s="350" t="s">
        <v>232</v>
      </c>
      <c r="F15" s="16">
        <v>1421606000198</v>
      </c>
      <c r="G15" s="10" t="s">
        <v>73</v>
      </c>
      <c r="H15" s="11" t="s">
        <v>74</v>
      </c>
      <c r="I15" s="12">
        <v>23716</v>
      </c>
      <c r="J15" s="12">
        <v>7754</v>
      </c>
      <c r="K15" s="17">
        <f t="shared" si="0"/>
        <v>0.95048712983479233</v>
      </c>
      <c r="L15" s="18" t="b">
        <f t="shared" si="1"/>
        <v>0</v>
      </c>
      <c r="N15" s="228">
        <v>956.88870967741934</v>
      </c>
      <c r="O15" s="228">
        <f t="shared" si="2"/>
        <v>4743.2</v>
      </c>
      <c r="P15" s="49"/>
    </row>
    <row r="16" spans="2:17" s="7" customFormat="1" ht="25.5">
      <c r="B16" s="9" t="s">
        <v>75</v>
      </c>
      <c r="C16" s="10" t="s">
        <v>43</v>
      </c>
      <c r="D16" s="10" t="s">
        <v>40</v>
      </c>
      <c r="E16" s="350" t="s">
        <v>233</v>
      </c>
      <c r="F16" s="16">
        <v>1421703000340</v>
      </c>
      <c r="G16" s="10" t="s">
        <v>76</v>
      </c>
      <c r="H16" s="11" t="s">
        <v>77</v>
      </c>
      <c r="I16" s="12">
        <v>67653</v>
      </c>
      <c r="J16" s="12">
        <v>8499</v>
      </c>
      <c r="K16" s="17">
        <f t="shared" si="0"/>
        <v>0.99220119903033277</v>
      </c>
      <c r="L16" s="18" t="b">
        <f t="shared" si="1"/>
        <v>0</v>
      </c>
      <c r="N16" s="228">
        <v>1339.4322580645162</v>
      </c>
      <c r="O16" s="228">
        <f t="shared" si="2"/>
        <v>13530.6</v>
      </c>
      <c r="P16" s="49"/>
    </row>
    <row r="17" spans="2:17" s="7" customFormat="1" ht="25.5">
      <c r="B17" s="9" t="s">
        <v>78</v>
      </c>
      <c r="C17" s="10" t="s">
        <v>43</v>
      </c>
      <c r="D17" s="10" t="s">
        <v>40</v>
      </c>
      <c r="E17" s="350" t="s">
        <v>232</v>
      </c>
      <c r="F17" s="13">
        <v>82033803760</v>
      </c>
      <c r="G17" s="10" t="s">
        <v>79</v>
      </c>
      <c r="H17" s="11" t="s">
        <v>80</v>
      </c>
      <c r="I17" s="12">
        <v>18220</v>
      </c>
      <c r="J17" s="12">
        <v>6913</v>
      </c>
      <c r="K17" s="17">
        <f t="shared" si="0"/>
        <v>0.93496407655787039</v>
      </c>
      <c r="L17" s="18" t="str">
        <f t="shared" si="1"/>
        <v>SI</v>
      </c>
      <c r="N17" s="228">
        <v>956.88870967741934</v>
      </c>
      <c r="O17" s="228">
        <f t="shared" si="2"/>
        <v>3644</v>
      </c>
      <c r="P17" s="49"/>
    </row>
    <row r="18" spans="2:17" s="7" customFormat="1">
      <c r="B18" s="9" t="s">
        <v>81</v>
      </c>
      <c r="C18" s="10" t="s">
        <v>82</v>
      </c>
      <c r="D18" s="10" t="s">
        <v>40</v>
      </c>
      <c r="E18" s="10" t="s">
        <v>234</v>
      </c>
      <c r="F18" s="46">
        <v>82020712661</v>
      </c>
      <c r="G18" s="10" t="s">
        <v>83</v>
      </c>
      <c r="H18" s="11" t="s">
        <v>84</v>
      </c>
      <c r="I18" s="12">
        <v>10658</v>
      </c>
      <c r="J18" s="12">
        <v>7157</v>
      </c>
      <c r="K18" s="17">
        <f t="shared" si="0"/>
        <v>0.83018817073466766</v>
      </c>
      <c r="L18" s="18" t="str">
        <f t="shared" si="1"/>
        <v>SI</v>
      </c>
      <c r="N18" s="228">
        <v>277.69435483870967</v>
      </c>
      <c r="O18" s="228">
        <f t="shared" si="2"/>
        <v>2131.6</v>
      </c>
      <c r="P18" s="49"/>
    </row>
    <row r="19" spans="2:17">
      <c r="B19" s="9" t="s">
        <v>31</v>
      </c>
      <c r="C19" s="10" t="s">
        <v>85</v>
      </c>
      <c r="D19" s="10" t="s">
        <v>40</v>
      </c>
      <c r="E19" s="10" t="s">
        <v>235</v>
      </c>
      <c r="F19" s="13">
        <v>82035653959</v>
      </c>
      <c r="G19" s="10" t="s">
        <v>86</v>
      </c>
      <c r="H19" s="11">
        <v>43368</v>
      </c>
      <c r="I19" s="12">
        <v>11308</v>
      </c>
      <c r="J19" s="15">
        <v>5268</v>
      </c>
      <c r="K19" s="17">
        <f t="shared" si="0"/>
        <v>0.9064614593190129</v>
      </c>
      <c r="L19" s="18" t="str">
        <f t="shared" si="1"/>
        <v>SI</v>
      </c>
      <c r="N19" s="226">
        <v>370.29838709677415</v>
      </c>
      <c r="O19" s="228">
        <f t="shared" si="2"/>
        <v>2261.6</v>
      </c>
      <c r="P19" s="50"/>
      <c r="Q19" s="7"/>
    </row>
    <row r="20" spans="2:17">
      <c r="B20" s="9" t="s">
        <v>30</v>
      </c>
      <c r="C20" s="10" t="s">
        <v>85</v>
      </c>
      <c r="D20" s="10" t="s">
        <v>40</v>
      </c>
      <c r="E20" s="10" t="s">
        <v>235</v>
      </c>
      <c r="F20" s="13">
        <v>445014982</v>
      </c>
      <c r="G20" s="10" t="s">
        <v>87</v>
      </c>
      <c r="H20" s="11">
        <v>43315</v>
      </c>
      <c r="I20" s="12">
        <v>6402</v>
      </c>
      <c r="J20" s="15">
        <v>2950</v>
      </c>
      <c r="K20" s="17">
        <f t="shared" si="0"/>
        <v>0.90821664537712488</v>
      </c>
      <c r="L20" s="18" t="str">
        <f t="shared" si="1"/>
        <v>SI</v>
      </c>
      <c r="N20" s="226">
        <v>370.32540983606555</v>
      </c>
      <c r="O20" s="228">
        <f t="shared" si="2"/>
        <v>1280.4000000000001</v>
      </c>
      <c r="P20" s="50"/>
      <c r="Q20" s="7"/>
    </row>
    <row r="21" spans="2:17">
      <c r="B21" s="6" t="s">
        <v>88</v>
      </c>
    </row>
    <row r="22" spans="2:17">
      <c r="I22" s="341"/>
      <c r="J22" s="341"/>
      <c r="N22" s="65">
        <f>SUM(N4:N21)</f>
        <v>40608.076266690907</v>
      </c>
      <c r="O22" s="65">
        <f>SUM(O4:O21)</f>
        <v>412363.8</v>
      </c>
      <c r="Q22" s="7"/>
    </row>
    <row r="23" spans="2:17" ht="13.5" thickBot="1"/>
    <row r="24" spans="2:17">
      <c r="B24" s="424" t="s">
        <v>203</v>
      </c>
      <c r="C24" s="430" t="s">
        <v>126</v>
      </c>
      <c r="D24" s="413" t="s">
        <v>127</v>
      </c>
    </row>
    <row r="25" spans="2:17" ht="37.15" customHeight="1" thickBot="1">
      <c r="B25" s="425"/>
      <c r="C25" s="431"/>
      <c r="D25" s="414"/>
      <c r="E25" s="7"/>
    </row>
    <row r="26" spans="2:17">
      <c r="B26" s="218" t="s">
        <v>24</v>
      </c>
      <c r="C26" s="224">
        <f>SUM(N4:N5)</f>
        <v>2190.5887096774195</v>
      </c>
      <c r="D26" s="225">
        <f>SUM(O4:O5)</f>
        <v>37716</v>
      </c>
      <c r="E26" s="40"/>
    </row>
    <row r="27" spans="2:17">
      <c r="B27" s="219" t="s">
        <v>28</v>
      </c>
      <c r="C27" s="226">
        <f>N12</f>
        <v>1148.2193548387095</v>
      </c>
      <c r="D27" s="227">
        <f>O12</f>
        <v>10748.6</v>
      </c>
      <c r="E27" s="40"/>
    </row>
    <row r="28" spans="2:17">
      <c r="B28" s="219" t="s">
        <v>25</v>
      </c>
      <c r="C28" s="228">
        <f>SUM(N6:N9)</f>
        <v>3890.6387600806456</v>
      </c>
      <c r="D28" s="227">
        <f>SUM(O6:O9)</f>
        <v>50420.800000000003</v>
      </c>
      <c r="E28" s="40"/>
    </row>
    <row r="29" spans="2:17">
      <c r="B29" s="219" t="s">
        <v>95</v>
      </c>
      <c r="C29" s="226">
        <f>N10</f>
        <v>6888.9629032258072</v>
      </c>
      <c r="D29" s="229">
        <f>O10</f>
        <v>56769.600000000006</v>
      </c>
      <c r="E29" s="40"/>
    </row>
    <row r="30" spans="2:17">
      <c r="B30" s="219" t="s">
        <v>29</v>
      </c>
      <c r="C30" s="226">
        <f>N11</f>
        <v>5633.3629032258068</v>
      </c>
      <c r="D30" s="229">
        <f>O11</f>
        <v>20361.2</v>
      </c>
      <c r="E30" s="40"/>
    </row>
    <row r="31" spans="2:17">
      <c r="B31" s="219" t="s">
        <v>96</v>
      </c>
      <c r="C31" s="226">
        <f>N13</f>
        <v>7122.5629032258057</v>
      </c>
      <c r="D31" s="227">
        <f>O13</f>
        <v>63625.8</v>
      </c>
      <c r="E31" s="40"/>
    </row>
    <row r="32" spans="2:17">
      <c r="B32" s="219" t="s">
        <v>97</v>
      </c>
      <c r="C32" s="228">
        <f>SUM(N14:N18)</f>
        <v>12993.116935483871</v>
      </c>
      <c r="D32" s="227">
        <f>SUM(O14:O18)</f>
        <v>169179.80000000002</v>
      </c>
      <c r="E32" s="40"/>
    </row>
    <row r="33" spans="2:5">
      <c r="B33" s="219" t="s">
        <v>91</v>
      </c>
      <c r="C33" s="226">
        <f>N20</f>
        <v>370.32540983606555</v>
      </c>
      <c r="D33" s="229">
        <f>O20</f>
        <v>1280.4000000000001</v>
      </c>
      <c r="E33" s="40"/>
    </row>
    <row r="34" spans="2:5" ht="13.5" thickBot="1">
      <c r="B34" s="220" t="s">
        <v>92</v>
      </c>
      <c r="C34" s="230">
        <f>N19</f>
        <v>370.29838709677415</v>
      </c>
      <c r="D34" s="231">
        <f>O19</f>
        <v>2261.6</v>
      </c>
      <c r="E34" s="40"/>
    </row>
    <row r="35" spans="2:5" ht="13.5" thickBot="1">
      <c r="C35" s="59"/>
      <c r="D35" s="59"/>
    </row>
    <row r="36" spans="2:5" ht="13.5" thickBot="1">
      <c r="B36" s="221" t="s">
        <v>101</v>
      </c>
      <c r="C36" s="222">
        <f>SUM(C26:C35)</f>
        <v>40608.0762666909</v>
      </c>
      <c r="D36" s="223">
        <f>SUM(D26:D35)</f>
        <v>412363.80000000005</v>
      </c>
    </row>
    <row r="38" spans="2:5">
      <c r="C38" s="47"/>
      <c r="D38" s="47"/>
    </row>
  </sheetData>
  <mergeCells count="5">
    <mergeCell ref="B24:B25"/>
    <mergeCell ref="N2:N3"/>
    <mergeCell ref="O2:O3"/>
    <mergeCell ref="C24:C25"/>
    <mergeCell ref="D24:D25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13E9C-0E5D-48D6-85B1-EAE5CC47FCB4}">
  <dimension ref="B1:G15"/>
  <sheetViews>
    <sheetView workbookViewId="0">
      <selection activeCell="F24" sqref="F24"/>
    </sheetView>
  </sheetViews>
  <sheetFormatPr baseColWidth="10" defaultColWidth="11.42578125" defaultRowHeight="12.75"/>
  <cols>
    <col min="1" max="1" width="1.7109375" style="3" customWidth="1"/>
    <col min="2" max="2" width="21.42578125" style="3" customWidth="1"/>
    <col min="3" max="7" width="14.5703125" style="3" customWidth="1"/>
    <col min="8" max="16384" width="11.42578125" style="3"/>
  </cols>
  <sheetData>
    <row r="1" spans="2:7" ht="13.5" thickBot="1"/>
    <row r="2" spans="2:7" s="63" customFormat="1">
      <c r="B2" s="430" t="s">
        <v>203</v>
      </c>
      <c r="C2" s="432" t="s">
        <v>174</v>
      </c>
      <c r="D2" s="433"/>
      <c r="E2" s="433"/>
      <c r="F2" s="433"/>
      <c r="G2" s="434"/>
    </row>
    <row r="3" spans="2:7" s="63" customFormat="1" ht="64.150000000000006" customHeight="1" thickBot="1">
      <c r="B3" s="431"/>
      <c r="C3" s="64" t="s">
        <v>134</v>
      </c>
      <c r="D3" s="64" t="s">
        <v>135</v>
      </c>
      <c r="E3" s="64" t="s">
        <v>136</v>
      </c>
      <c r="F3" s="64" t="s">
        <v>137</v>
      </c>
      <c r="G3" s="80" t="s">
        <v>138</v>
      </c>
    </row>
    <row r="4" spans="2:7">
      <c r="B4" s="233" t="s">
        <v>24</v>
      </c>
      <c r="C4" s="234">
        <v>20397.072</v>
      </c>
      <c r="D4" s="234">
        <v>1112.3519999999999</v>
      </c>
      <c r="E4" s="234">
        <v>10918.37</v>
      </c>
      <c r="F4" s="234">
        <v>1330</v>
      </c>
      <c r="G4" s="235">
        <v>864</v>
      </c>
    </row>
    <row r="5" spans="2:7">
      <c r="B5" s="160" t="s">
        <v>28</v>
      </c>
      <c r="C5" s="232">
        <v>7223.9629999999997</v>
      </c>
      <c r="D5" s="232">
        <v>393.95799999999997</v>
      </c>
      <c r="E5" s="159">
        <v>3263</v>
      </c>
      <c r="F5" s="159">
        <v>830</v>
      </c>
      <c r="G5" s="236">
        <v>306</v>
      </c>
    </row>
    <row r="6" spans="2:7">
      <c r="B6" s="160" t="s">
        <v>25</v>
      </c>
      <c r="C6" s="232">
        <v>25921.278999999999</v>
      </c>
      <c r="D6" s="232">
        <v>1413.614</v>
      </c>
      <c r="E6" s="159">
        <v>10582</v>
      </c>
      <c r="F6" s="159">
        <v>1030</v>
      </c>
      <c r="G6" s="236">
        <v>1098</v>
      </c>
    </row>
    <row r="7" spans="2:7">
      <c r="B7" s="160" t="s">
        <v>95</v>
      </c>
      <c r="C7" s="232">
        <v>38244.51</v>
      </c>
      <c r="D7" s="232">
        <v>2085.66</v>
      </c>
      <c r="E7" s="159">
        <v>10967</v>
      </c>
      <c r="F7" s="159">
        <v>930</v>
      </c>
      <c r="G7" s="236">
        <v>1620</v>
      </c>
    </row>
    <row r="8" spans="2:7">
      <c r="B8" s="160" t="s">
        <v>29</v>
      </c>
      <c r="C8" s="232">
        <v>26346.218000000004</v>
      </c>
      <c r="D8" s="232">
        <v>1436.7880000000002</v>
      </c>
      <c r="E8" s="159">
        <v>10491</v>
      </c>
      <c r="F8" s="159">
        <v>1330</v>
      </c>
      <c r="G8" s="236">
        <v>1116</v>
      </c>
    </row>
    <row r="9" spans="2:7">
      <c r="B9" s="160" t="s">
        <v>96</v>
      </c>
      <c r="C9" s="232">
        <v>32295.363999999998</v>
      </c>
      <c r="D9" s="232">
        <v>1761.2239999999999</v>
      </c>
      <c r="E9" s="159">
        <v>12987</v>
      </c>
      <c r="F9" s="159">
        <v>1030</v>
      </c>
      <c r="G9" s="236">
        <v>1368</v>
      </c>
    </row>
    <row r="10" spans="2:7">
      <c r="B10" s="160" t="s">
        <v>97</v>
      </c>
      <c r="C10" s="232">
        <v>84562.86099999999</v>
      </c>
      <c r="D10" s="232">
        <v>4611.6260000000002</v>
      </c>
      <c r="E10" s="159">
        <v>38105</v>
      </c>
      <c r="F10" s="159">
        <v>795</v>
      </c>
      <c r="G10" s="236">
        <v>3582</v>
      </c>
    </row>
    <row r="11" spans="2:7">
      <c r="B11" s="160" t="s">
        <v>91</v>
      </c>
      <c r="C11" s="159">
        <v>1274.817</v>
      </c>
      <c r="D11" s="159">
        <v>69.521999999999991</v>
      </c>
      <c r="E11" s="159">
        <v>2867</v>
      </c>
      <c r="F11" s="159">
        <v>1030</v>
      </c>
      <c r="G11" s="237">
        <v>54</v>
      </c>
    </row>
    <row r="12" spans="2:7" ht="13.5" thickBot="1">
      <c r="B12" s="212" t="s">
        <v>92</v>
      </c>
      <c r="C12" s="238">
        <v>2124.6950000000002</v>
      </c>
      <c r="D12" s="238">
        <v>115.87</v>
      </c>
      <c r="E12" s="238">
        <v>2538</v>
      </c>
      <c r="F12" s="238">
        <v>1130</v>
      </c>
      <c r="G12" s="239">
        <v>90</v>
      </c>
    </row>
    <row r="13" spans="2:7" ht="13.5" thickBot="1"/>
    <row r="14" spans="2:7" ht="15.75" thickBot="1">
      <c r="B14" s="67" t="s">
        <v>132</v>
      </c>
      <c r="C14" s="68">
        <f>SUM(C4:C12)</f>
        <v>238390.77900000001</v>
      </c>
      <c r="D14" s="68">
        <f>SUM(D4:D12)</f>
        <v>13000.614000000001</v>
      </c>
      <c r="E14" s="68">
        <f>SUM(E4:E12)</f>
        <v>102718.37</v>
      </c>
      <c r="F14" s="68">
        <f>SUM(F4:F12)</f>
        <v>9435</v>
      </c>
      <c r="G14" s="69">
        <f>SUM(G4:G12)</f>
        <v>10098</v>
      </c>
    </row>
    <row r="15" spans="2:7" ht="15">
      <c r="B15" s="66"/>
      <c r="C15" s="66"/>
      <c r="D15" s="66"/>
      <c r="E15" s="66"/>
      <c r="F15" s="66"/>
      <c r="G15" s="66"/>
    </row>
  </sheetData>
  <mergeCells count="2">
    <mergeCell ref="B2:B3"/>
    <mergeCell ref="C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336B1-2610-4AE2-8B53-C9CA59B7C67C}">
  <dimension ref="A1:Q31"/>
  <sheetViews>
    <sheetView topLeftCell="A10" zoomScale="80" zoomScaleNormal="80" workbookViewId="0">
      <selection activeCell="G21" sqref="G21"/>
    </sheetView>
  </sheetViews>
  <sheetFormatPr baseColWidth="10" defaultColWidth="11.42578125" defaultRowHeight="12.75"/>
  <cols>
    <col min="1" max="1" width="3.28515625" customWidth="1"/>
    <col min="2" max="2" width="8.140625" customWidth="1"/>
    <col min="3" max="3" width="37.85546875" customWidth="1"/>
    <col min="4" max="4" width="15.7109375" customWidth="1"/>
    <col min="5" max="5" width="2.7109375" customWidth="1"/>
    <col min="6" max="6" width="14.28515625" customWidth="1"/>
    <col min="7" max="7" width="6" customWidth="1"/>
    <col min="8" max="8" width="11.85546875" bestFit="1" customWidth="1"/>
    <col min="9" max="9" width="13.42578125" customWidth="1"/>
    <col min="10" max="10" width="11.7109375" customWidth="1"/>
    <col min="11" max="11" width="12.85546875" customWidth="1"/>
    <col min="12" max="12" width="12" customWidth="1"/>
    <col min="13" max="13" width="11.85546875" customWidth="1"/>
    <col min="14" max="14" width="13.140625" customWidth="1"/>
    <col min="15" max="15" width="12.85546875" customWidth="1"/>
    <col min="16" max="16" width="13.7109375" customWidth="1"/>
    <col min="17" max="17" width="12.5703125" customWidth="1"/>
    <col min="18" max="18" width="12.7109375" customWidth="1"/>
  </cols>
  <sheetData>
    <row r="1" spans="1:17" ht="13.5" thickBot="1"/>
    <row r="2" spans="1:17" s="5" customFormat="1" ht="24" customHeight="1" thickBot="1">
      <c r="B2" s="437" t="s">
        <v>152</v>
      </c>
      <c r="C2" s="432" t="s">
        <v>19</v>
      </c>
      <c r="D2" s="435" t="s">
        <v>172</v>
      </c>
      <c r="F2" s="71"/>
    </row>
    <row r="3" spans="1:17" s="3" customFormat="1" ht="25.5" customHeight="1" thickBot="1">
      <c r="B3" s="438"/>
      <c r="C3" s="439"/>
      <c r="D3" s="436"/>
      <c r="H3" s="110" t="s">
        <v>24</v>
      </c>
      <c r="I3" s="110" t="s">
        <v>25</v>
      </c>
      <c r="J3" s="110" t="s">
        <v>26</v>
      </c>
      <c r="K3" s="110" t="s">
        <v>27</v>
      </c>
      <c r="L3" s="111" t="s">
        <v>97</v>
      </c>
      <c r="M3" s="111" t="s">
        <v>28</v>
      </c>
      <c r="N3" s="111" t="s">
        <v>29</v>
      </c>
      <c r="O3" s="110" t="s">
        <v>91</v>
      </c>
      <c r="P3" s="110" t="s">
        <v>92</v>
      </c>
      <c r="Q3" s="47"/>
    </row>
    <row r="4" spans="1:17" ht="15.75" customHeight="1">
      <c r="B4" s="300">
        <v>2</v>
      </c>
      <c r="C4" s="301" t="s">
        <v>185</v>
      </c>
      <c r="D4" s="302">
        <v>35100</v>
      </c>
      <c r="F4" s="35"/>
      <c r="G4" s="72">
        <f>SUM(H4:P4)</f>
        <v>1</v>
      </c>
      <c r="H4" s="86">
        <v>0.1</v>
      </c>
      <c r="I4" s="86">
        <v>0.1</v>
      </c>
      <c r="J4" s="86">
        <v>0.1</v>
      </c>
      <c r="K4" s="86">
        <v>0.2</v>
      </c>
      <c r="L4" s="86">
        <v>0.375</v>
      </c>
      <c r="M4" s="86">
        <v>2.5000000000000001E-2</v>
      </c>
      <c r="N4" s="86">
        <v>0.05</v>
      </c>
      <c r="O4" s="86">
        <v>2.5000000000000001E-2</v>
      </c>
      <c r="P4" s="87">
        <v>2.5000000000000001E-2</v>
      </c>
      <c r="Q4" s="23"/>
    </row>
    <row r="5" spans="1:17" ht="15.75" customHeight="1">
      <c r="B5" s="303">
        <v>2</v>
      </c>
      <c r="C5" s="100" t="s">
        <v>186</v>
      </c>
      <c r="D5" s="304">
        <v>3120</v>
      </c>
      <c r="F5" s="35"/>
      <c r="G5" s="72">
        <f>SUM(H5:P5)</f>
        <v>1</v>
      </c>
      <c r="H5" s="86">
        <v>0.1</v>
      </c>
      <c r="I5" s="86">
        <v>0.1</v>
      </c>
      <c r="J5" s="86">
        <v>0.1</v>
      </c>
      <c r="K5" s="86">
        <v>0.2</v>
      </c>
      <c r="L5" s="86">
        <v>0.375</v>
      </c>
      <c r="M5" s="86">
        <v>2.5000000000000001E-2</v>
      </c>
      <c r="N5" s="86">
        <v>0.05</v>
      </c>
      <c r="O5" s="86">
        <v>2.5000000000000001E-2</v>
      </c>
      <c r="P5" s="87">
        <v>2.5000000000000001E-2</v>
      </c>
      <c r="Q5" s="23"/>
    </row>
    <row r="6" spans="1:17" ht="15.75" customHeight="1">
      <c r="B6" s="303">
        <v>2</v>
      </c>
      <c r="C6" s="100" t="s">
        <v>209</v>
      </c>
      <c r="D6" s="304">
        <v>12000</v>
      </c>
      <c r="F6" s="35"/>
      <c r="G6" s="72">
        <f>SUM(H6:P6)</f>
        <v>1</v>
      </c>
      <c r="H6" s="86">
        <v>0.1</v>
      </c>
      <c r="I6" s="86">
        <v>0.1</v>
      </c>
      <c r="J6" s="86">
        <v>0.1</v>
      </c>
      <c r="K6" s="86">
        <v>0.2</v>
      </c>
      <c r="L6" s="86">
        <v>0.375</v>
      </c>
      <c r="M6" s="86">
        <v>2.5000000000000001E-2</v>
      </c>
      <c r="N6" s="86">
        <v>0.05</v>
      </c>
      <c r="O6" s="86">
        <v>2.5000000000000001E-2</v>
      </c>
      <c r="P6" s="87">
        <v>2.5000000000000001E-2</v>
      </c>
      <c r="Q6" s="23"/>
    </row>
    <row r="7" spans="1:17" ht="15.75" customHeight="1">
      <c r="B7" s="303">
        <v>2</v>
      </c>
      <c r="C7" s="100" t="s">
        <v>187</v>
      </c>
      <c r="D7" s="304">
        <v>6000</v>
      </c>
      <c r="F7" s="35"/>
      <c r="G7" s="72">
        <f>SUM(H7:P7)</f>
        <v>1</v>
      </c>
      <c r="H7" s="86">
        <v>0.1</v>
      </c>
      <c r="I7" s="86">
        <v>0.1</v>
      </c>
      <c r="J7" s="86">
        <v>0.1</v>
      </c>
      <c r="K7" s="86">
        <v>0.2</v>
      </c>
      <c r="L7" s="86">
        <v>0.375</v>
      </c>
      <c r="M7" s="86">
        <v>2.5000000000000001E-2</v>
      </c>
      <c r="N7" s="86">
        <v>0.05</v>
      </c>
      <c r="O7" s="86">
        <v>2.5000000000000001E-2</v>
      </c>
      <c r="P7" s="87">
        <v>2.5000000000000001E-2</v>
      </c>
      <c r="Q7" s="23"/>
    </row>
    <row r="8" spans="1:17" ht="15.75" customHeight="1" thickBot="1">
      <c r="B8" s="305">
        <v>2</v>
      </c>
      <c r="C8" s="306" t="s">
        <v>210</v>
      </c>
      <c r="D8" s="307">
        <v>37560</v>
      </c>
      <c r="F8" s="35"/>
      <c r="G8" s="72">
        <f>SUM(H8:P8)</f>
        <v>1</v>
      </c>
      <c r="H8" s="88">
        <v>0.1</v>
      </c>
      <c r="I8" s="88">
        <v>0.1</v>
      </c>
      <c r="J8" s="88">
        <v>0.1</v>
      </c>
      <c r="K8" s="88">
        <v>0.2</v>
      </c>
      <c r="L8" s="88">
        <v>0.375</v>
      </c>
      <c r="M8" s="88">
        <v>2.5000000000000001E-2</v>
      </c>
      <c r="N8" s="88">
        <v>0.05</v>
      </c>
      <c r="O8" s="88">
        <v>2.5000000000000001E-2</v>
      </c>
      <c r="P8" s="89">
        <v>2.5000000000000001E-2</v>
      </c>
      <c r="Q8" s="23"/>
    </row>
    <row r="9" spans="1:17" ht="15.75" customHeight="1">
      <c r="C9" s="73"/>
      <c r="D9" s="74"/>
      <c r="F9" s="35"/>
      <c r="G9" s="75"/>
      <c r="H9" s="18"/>
      <c r="I9" s="18"/>
      <c r="J9" s="18"/>
      <c r="K9" s="18"/>
      <c r="L9" s="18"/>
      <c r="M9" s="18"/>
      <c r="N9" s="18"/>
      <c r="O9" s="18"/>
      <c r="P9" s="18"/>
      <c r="Q9" s="23"/>
    </row>
    <row r="10" spans="1:17" ht="15.75" customHeight="1" thickBot="1">
      <c r="H10" s="2"/>
      <c r="I10" s="2"/>
      <c r="J10" s="2"/>
      <c r="K10" s="2"/>
    </row>
    <row r="11" spans="1:17" ht="28.5" customHeight="1" thickBot="1">
      <c r="A11" s="4"/>
      <c r="B11" s="4"/>
      <c r="C11" s="112" t="s">
        <v>188</v>
      </c>
      <c r="D11" s="240">
        <f>SUM(D4:D8)</f>
        <v>93780</v>
      </c>
      <c r="F11" s="411" t="s">
        <v>189</v>
      </c>
      <c r="G11" s="412"/>
      <c r="H11" s="92">
        <f t="shared" ref="H11:P11" si="0">H4*$D$4+H5*$D$5+H6*$D$6+H7*$D$7+H8*$D$8</f>
        <v>9378</v>
      </c>
      <c r="I11" s="92">
        <f t="shared" si="0"/>
        <v>9378</v>
      </c>
      <c r="J11" s="92">
        <f t="shared" si="0"/>
        <v>9378</v>
      </c>
      <c r="K11" s="92">
        <f t="shared" si="0"/>
        <v>18756</v>
      </c>
      <c r="L11" s="92">
        <f t="shared" si="0"/>
        <v>35167.5</v>
      </c>
      <c r="M11" s="92">
        <f t="shared" si="0"/>
        <v>2344.5</v>
      </c>
      <c r="N11" s="92">
        <f t="shared" si="0"/>
        <v>4689</v>
      </c>
      <c r="O11" s="92">
        <f t="shared" si="0"/>
        <v>2344.5</v>
      </c>
      <c r="P11" s="92">
        <f t="shared" si="0"/>
        <v>2344.5</v>
      </c>
    </row>
    <row r="12" spans="1:17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4" spans="1:17">
      <c r="C14" s="19"/>
    </row>
    <row r="16" spans="1:17">
      <c r="D16">
        <v>1</v>
      </c>
    </row>
    <row r="17" spans="3:4" ht="13.5" thickBot="1"/>
    <row r="18" spans="3:4" ht="26.25" thickBot="1">
      <c r="C18" s="241" t="s">
        <v>203</v>
      </c>
      <c r="D18" s="242" t="s">
        <v>197</v>
      </c>
    </row>
    <row r="19" spans="3:4">
      <c r="C19" s="218" t="s">
        <v>24</v>
      </c>
      <c r="D19" s="243">
        <f>H11</f>
        <v>9378</v>
      </c>
    </row>
    <row r="20" spans="3:4">
      <c r="C20" s="219" t="s">
        <v>28</v>
      </c>
      <c r="D20" s="244">
        <f>M11</f>
        <v>2344.5</v>
      </c>
    </row>
    <row r="21" spans="3:4">
      <c r="C21" s="219" t="s">
        <v>25</v>
      </c>
      <c r="D21" s="244">
        <f>J11</f>
        <v>9378</v>
      </c>
    </row>
    <row r="22" spans="3:4">
      <c r="C22" s="219" t="s">
        <v>95</v>
      </c>
      <c r="D22" s="244">
        <f>J11</f>
        <v>9378</v>
      </c>
    </row>
    <row r="23" spans="3:4">
      <c r="C23" s="219" t="s">
        <v>29</v>
      </c>
      <c r="D23" s="244">
        <f>N11</f>
        <v>4689</v>
      </c>
    </row>
    <row r="24" spans="3:4">
      <c r="C24" s="219" t="s">
        <v>96</v>
      </c>
      <c r="D24" s="244">
        <f>K11</f>
        <v>18756</v>
      </c>
    </row>
    <row r="25" spans="3:4">
      <c r="C25" s="219" t="s">
        <v>97</v>
      </c>
      <c r="D25" s="244">
        <f>L11</f>
        <v>35167.5</v>
      </c>
    </row>
    <row r="26" spans="3:4">
      <c r="C26" s="219" t="s">
        <v>91</v>
      </c>
      <c r="D26" s="244">
        <f>O11</f>
        <v>2344.5</v>
      </c>
    </row>
    <row r="27" spans="3:4" ht="13.5" thickBot="1">
      <c r="C27" s="220" t="s">
        <v>92</v>
      </c>
      <c r="D27" s="245">
        <f>P11</f>
        <v>2344.5</v>
      </c>
    </row>
    <row r="28" spans="3:4" ht="13.5" thickBot="1">
      <c r="D28" s="55"/>
    </row>
    <row r="29" spans="3:4" ht="13.5" thickBot="1">
      <c r="C29" s="246" t="s">
        <v>101</v>
      </c>
      <c r="D29" s="247">
        <f>SUM(D19:D28)</f>
        <v>93780</v>
      </c>
    </row>
    <row r="30" spans="3:4">
      <c r="D30" s="55"/>
    </row>
    <row r="31" spans="3:4">
      <c r="D31" s="55"/>
    </row>
  </sheetData>
  <mergeCells count="4">
    <mergeCell ref="D2:D3"/>
    <mergeCell ref="F11:G11"/>
    <mergeCell ref="B2:B3"/>
    <mergeCell ref="C2:C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DFCE3-17FE-4902-9F6F-7A0815182C47}">
  <dimension ref="B1:Q26"/>
  <sheetViews>
    <sheetView topLeftCell="A7" zoomScale="90" zoomScaleNormal="90" workbookViewId="0">
      <selection activeCell="H16" sqref="H16"/>
    </sheetView>
  </sheetViews>
  <sheetFormatPr baseColWidth="10" defaultColWidth="9.140625" defaultRowHeight="12.75"/>
  <cols>
    <col min="1" max="1" width="2.7109375" customWidth="1"/>
    <col min="2" max="2" width="23.5703125" customWidth="1"/>
    <col min="3" max="3" width="20" customWidth="1"/>
    <col min="4" max="4" width="17" customWidth="1"/>
    <col min="5" max="5" width="13.28515625" style="55" customWidth="1"/>
    <col min="6" max="6" width="3.28515625" customWidth="1"/>
    <col min="9" max="11" width="10.28515625" bestFit="1" customWidth="1"/>
    <col min="12" max="13" width="11.42578125" bestFit="1" customWidth="1"/>
    <col min="14" max="14" width="12.5703125" customWidth="1"/>
    <col min="15" max="15" width="12.140625" customWidth="1"/>
    <col min="16" max="16" width="10.42578125" customWidth="1"/>
    <col min="17" max="17" width="10.28515625" bestFit="1" customWidth="1"/>
  </cols>
  <sheetData>
    <row r="1" spans="2:17" ht="13.5" thickBot="1"/>
    <row r="2" spans="2:17" ht="26.25" thickBot="1">
      <c r="B2" s="440" t="s">
        <v>201</v>
      </c>
      <c r="C2" s="441"/>
      <c r="D2" s="308" t="s">
        <v>196</v>
      </c>
      <c r="E2" s="309" t="s">
        <v>195</v>
      </c>
      <c r="G2" s="3"/>
      <c r="H2" s="3"/>
      <c r="I2" s="311" t="s">
        <v>24</v>
      </c>
      <c r="J2" s="110" t="s">
        <v>25</v>
      </c>
      <c r="K2" s="110" t="s">
        <v>26</v>
      </c>
      <c r="L2" s="110" t="s">
        <v>27</v>
      </c>
      <c r="M2" s="111" t="s">
        <v>97</v>
      </c>
      <c r="N2" s="111" t="s">
        <v>28</v>
      </c>
      <c r="O2" s="111" t="s">
        <v>29</v>
      </c>
      <c r="P2" s="110" t="s">
        <v>91</v>
      </c>
      <c r="Q2" s="312" t="s">
        <v>92</v>
      </c>
    </row>
    <row r="3" spans="2:17">
      <c r="B3" s="252" t="s">
        <v>190</v>
      </c>
      <c r="C3" s="253" t="s">
        <v>204</v>
      </c>
      <c r="D3" s="256">
        <v>200181</v>
      </c>
      <c r="E3" s="257">
        <f t="shared" ref="E3:E7" si="0">D3/5</f>
        <v>40036.199999999997</v>
      </c>
      <c r="G3" s="35"/>
      <c r="H3" s="72">
        <f t="shared" ref="H3:H7" si="1">SUM(I3:Q3)</f>
        <v>1</v>
      </c>
      <c r="I3" s="313">
        <v>0.1</v>
      </c>
      <c r="J3" s="140">
        <v>0.1</v>
      </c>
      <c r="K3" s="140">
        <v>0.1</v>
      </c>
      <c r="L3" s="140">
        <v>0.2</v>
      </c>
      <c r="M3" s="140">
        <v>0.375</v>
      </c>
      <c r="N3" s="140">
        <v>2.5000000000000001E-2</v>
      </c>
      <c r="O3" s="140">
        <v>0.05</v>
      </c>
      <c r="P3" s="140">
        <v>2.5000000000000001E-2</v>
      </c>
      <c r="Q3" s="141">
        <v>2.5000000000000001E-2</v>
      </c>
    </row>
    <row r="4" spans="2:17">
      <c r="B4" s="254" t="s">
        <v>192</v>
      </c>
      <c r="C4" s="113" t="s">
        <v>204</v>
      </c>
      <c r="D4" s="197">
        <v>61729</v>
      </c>
      <c r="E4" s="258">
        <f t="shared" si="0"/>
        <v>12345.8</v>
      </c>
      <c r="G4" s="35"/>
      <c r="H4" s="72">
        <f t="shared" si="1"/>
        <v>1</v>
      </c>
      <c r="I4" s="313">
        <v>0.1</v>
      </c>
      <c r="J4" s="140">
        <v>0.1</v>
      </c>
      <c r="K4" s="140">
        <v>0.1</v>
      </c>
      <c r="L4" s="140">
        <v>0.2</v>
      </c>
      <c r="M4" s="140">
        <v>0.375</v>
      </c>
      <c r="N4" s="140">
        <v>2.5000000000000001E-2</v>
      </c>
      <c r="O4" s="140">
        <v>0.05</v>
      </c>
      <c r="P4" s="140">
        <v>2.5000000000000001E-2</v>
      </c>
      <c r="Q4" s="141">
        <v>2.5000000000000001E-2</v>
      </c>
    </row>
    <row r="5" spans="2:17">
      <c r="B5" s="254"/>
      <c r="C5" s="113"/>
      <c r="D5" s="259"/>
      <c r="E5" s="258"/>
      <c r="G5" s="35"/>
      <c r="H5" s="72">
        <f t="shared" si="1"/>
        <v>0</v>
      </c>
      <c r="I5" s="314"/>
      <c r="J5" s="142"/>
      <c r="K5" s="142"/>
      <c r="L5" s="142"/>
      <c r="M5" s="142"/>
      <c r="N5" s="142"/>
      <c r="O5" s="142"/>
      <c r="P5" s="142"/>
      <c r="Q5" s="143"/>
    </row>
    <row r="6" spans="2:17">
      <c r="B6" s="254" t="s">
        <v>191</v>
      </c>
      <c r="C6" s="113" t="s">
        <v>193</v>
      </c>
      <c r="D6" s="259">
        <v>5500</v>
      </c>
      <c r="E6" s="258">
        <f>D6/5</f>
        <v>1100</v>
      </c>
      <c r="G6" s="35"/>
      <c r="H6" s="72">
        <f t="shared" si="1"/>
        <v>1</v>
      </c>
      <c r="I6" s="314"/>
      <c r="J6" s="142"/>
      <c r="K6" s="142"/>
      <c r="L6" s="142"/>
      <c r="M6" s="142"/>
      <c r="N6" s="142">
        <v>1</v>
      </c>
      <c r="O6" s="142"/>
      <c r="P6" s="142"/>
      <c r="Q6" s="143"/>
    </row>
    <row r="7" spans="2:17" ht="13.5" thickBot="1">
      <c r="B7" s="310" t="s">
        <v>198</v>
      </c>
      <c r="C7" s="255"/>
      <c r="D7" s="260">
        <v>100000</v>
      </c>
      <c r="E7" s="261">
        <f t="shared" si="0"/>
        <v>20000</v>
      </c>
      <c r="H7" s="72">
        <f t="shared" si="1"/>
        <v>1</v>
      </c>
      <c r="I7" s="315"/>
      <c r="J7" s="144"/>
      <c r="K7" s="144"/>
      <c r="L7" s="144">
        <v>1</v>
      </c>
      <c r="M7" s="144"/>
      <c r="N7" s="144"/>
      <c r="O7" s="144"/>
      <c r="P7" s="144"/>
      <c r="Q7" s="145"/>
    </row>
    <row r="8" spans="2:17" ht="12" customHeight="1" thickBot="1">
      <c r="D8" s="248"/>
      <c r="E8" s="248"/>
    </row>
    <row r="9" spans="2:17" ht="13.5" thickBot="1">
      <c r="B9" s="250" t="s">
        <v>101</v>
      </c>
      <c r="C9" s="251"/>
      <c r="D9" s="262"/>
      <c r="E9" s="263">
        <f>SUM(E3:E8)</f>
        <v>73482</v>
      </c>
      <c r="G9" s="411" t="s">
        <v>194</v>
      </c>
      <c r="H9" s="412"/>
      <c r="I9" s="92">
        <f t="shared" ref="I9:Q9" si="2">$E$3*I3+I4*$E$4+$E$5*I5+$E$6*I6+$E$7*I7</f>
        <v>5238.2</v>
      </c>
      <c r="J9" s="92">
        <f t="shared" si="2"/>
        <v>5238.2</v>
      </c>
      <c r="K9" s="92">
        <f t="shared" si="2"/>
        <v>5238.2</v>
      </c>
      <c r="L9" s="92">
        <f t="shared" si="2"/>
        <v>30476.400000000001</v>
      </c>
      <c r="M9" s="92">
        <f t="shared" si="2"/>
        <v>19643.25</v>
      </c>
      <c r="N9" s="92">
        <f t="shared" si="2"/>
        <v>2409.5500000000002</v>
      </c>
      <c r="O9" s="92">
        <f t="shared" si="2"/>
        <v>2619.1</v>
      </c>
      <c r="P9" s="92">
        <f t="shared" si="2"/>
        <v>1309.55</v>
      </c>
      <c r="Q9" s="92">
        <f t="shared" si="2"/>
        <v>1309.55</v>
      </c>
    </row>
    <row r="11" spans="2:17">
      <c r="F11" s="55"/>
    </row>
    <row r="12" spans="2:17" ht="13.5" thickBot="1"/>
    <row r="13" spans="2:17" ht="26.25" thickBot="1">
      <c r="B13" s="241" t="s">
        <v>203</v>
      </c>
      <c r="C13" s="93" t="s">
        <v>199</v>
      </c>
      <c r="D13" s="41"/>
      <c r="E13"/>
    </row>
    <row r="14" spans="2:17">
      <c r="B14" s="218" t="s">
        <v>24</v>
      </c>
      <c r="C14" s="243">
        <f>I9</f>
        <v>5238.2</v>
      </c>
      <c r="D14" s="55"/>
      <c r="E14"/>
    </row>
    <row r="15" spans="2:17">
      <c r="B15" s="219" t="s">
        <v>28</v>
      </c>
      <c r="C15" s="244">
        <f>N9</f>
        <v>2409.5500000000002</v>
      </c>
      <c r="D15" s="55"/>
      <c r="E15"/>
    </row>
    <row r="16" spans="2:17">
      <c r="B16" s="219" t="s">
        <v>25</v>
      </c>
      <c r="C16" s="244">
        <f>J9</f>
        <v>5238.2</v>
      </c>
      <c r="D16" s="55"/>
      <c r="E16"/>
    </row>
    <row r="17" spans="2:5">
      <c r="B17" s="219" t="s">
        <v>95</v>
      </c>
      <c r="C17" s="244">
        <f>K9</f>
        <v>5238.2</v>
      </c>
      <c r="D17" s="55"/>
      <c r="E17"/>
    </row>
    <row r="18" spans="2:5">
      <c r="B18" s="219" t="s">
        <v>29</v>
      </c>
      <c r="C18" s="244">
        <f>O9</f>
        <v>2619.1</v>
      </c>
      <c r="D18" s="55"/>
      <c r="E18"/>
    </row>
    <row r="19" spans="2:5">
      <c r="B19" s="219" t="s">
        <v>96</v>
      </c>
      <c r="C19" s="244">
        <f>L9</f>
        <v>30476.400000000001</v>
      </c>
      <c r="D19" s="55"/>
      <c r="E19"/>
    </row>
    <row r="20" spans="2:5">
      <c r="B20" s="219" t="s">
        <v>97</v>
      </c>
      <c r="C20" s="244">
        <f>M9</f>
        <v>19643.25</v>
      </c>
      <c r="D20" s="55"/>
      <c r="E20"/>
    </row>
    <row r="21" spans="2:5">
      <c r="B21" s="219" t="s">
        <v>91</v>
      </c>
      <c r="C21" s="244">
        <f>P9</f>
        <v>1309.55</v>
      </c>
      <c r="D21" s="55"/>
      <c r="E21"/>
    </row>
    <row r="22" spans="2:5" ht="13.5" thickBot="1">
      <c r="B22" s="220" t="s">
        <v>92</v>
      </c>
      <c r="C22" s="245">
        <f>Q9</f>
        <v>1309.55</v>
      </c>
      <c r="D22" s="55"/>
      <c r="E22"/>
    </row>
    <row r="23" spans="2:5" ht="13.5" thickBot="1">
      <c r="C23" s="248"/>
      <c r="D23" s="55"/>
      <c r="E23"/>
    </row>
    <row r="24" spans="2:5" ht="13.5" thickBot="1">
      <c r="B24" s="249" t="s">
        <v>101</v>
      </c>
      <c r="C24" s="217">
        <f>SUM(C14:C22)</f>
        <v>73482</v>
      </c>
      <c r="D24" s="55"/>
      <c r="E24"/>
    </row>
    <row r="26" spans="2:5">
      <c r="C26" s="248"/>
    </row>
  </sheetData>
  <mergeCells count="2">
    <mergeCell ref="B2:C2"/>
    <mergeCell ref="G9:H9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Pressupost base</vt:lpstr>
      <vt:lpstr>DD alta</vt:lpstr>
      <vt:lpstr>Personal general</vt:lpstr>
      <vt:lpstr>Mitjanes cabals</vt:lpstr>
      <vt:lpstr>Fangs i reactius</vt:lpstr>
      <vt:lpstr>Energia</vt:lpstr>
      <vt:lpstr>Costos materials</vt:lpstr>
      <vt:lpstr>Altres conceptes</vt:lpstr>
      <vt:lpstr>Actuacions necessàries</vt:lpstr>
      <vt:lpstr>Sistemes</vt:lpstr>
      <vt:lpstr>'Pressupost base'!_Toc330471287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Agència Catalana de l'Aigua</dc:creator>
  <cp:lastModifiedBy>Adriana Egea Pujol</cp:lastModifiedBy>
  <cp:lastPrinted>2024-04-05T08:20:11Z</cp:lastPrinted>
  <dcterms:created xsi:type="dcterms:W3CDTF">2001-03-06T10:41:38Z</dcterms:created>
  <dcterms:modified xsi:type="dcterms:W3CDTF">2024-07-22T11:49:50Z</dcterms:modified>
</cp:coreProperties>
</file>