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fgccat.sharepoint.com/sites/TCNIQUESIPROJECTESDEMUNTANYA/Shared Documents/General/02_Plecs/2024/1.Per enviar/ECOVALL/"/>
    </mc:Choice>
  </mc:AlternateContent>
  <xr:revisionPtr revIDLastSave="229" documentId="8_{661F1203-C5B8-4BB6-A869-8294150897AE}" xr6:coauthVersionLast="47" xr6:coauthVersionMax="47" xr10:uidLastSave="{FC1F8491-2082-4016-8FB4-259706A3AA80}"/>
  <bookViews>
    <workbookView xWindow="-120" yWindow="-120" windowWidth="29040" windowHeight="15840" activeTab="5" xr2:uid="{0CA601DB-2AD8-47B8-9F5E-1A82307B8F78}"/>
  </bookViews>
  <sheets>
    <sheet name="Ampliació geotermia" sheetId="1" r:id="rId1"/>
    <sheet name="Distribució Sant Antoni" sheetId="2" r:id="rId2"/>
    <sheet name="Distribució Sant Gil" sheetId="3" r:id="rId3"/>
    <sheet name="Distribució Sant Justí" sheetId="5" r:id="rId4"/>
    <sheet name="Control geotèrmia" sheetId="6" r:id="rId5"/>
    <sheet name="Taula resum" sheetId="4" r:id="rId6"/>
  </sheets>
  <definedNames>
    <definedName name="_xlnm.Print_Titles" localSheetId="0">'Ampliació geotermia'!$1:$9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4" l="1"/>
  <c r="H46" i="6"/>
  <c r="H45" i="6"/>
  <c r="H44" i="6"/>
  <c r="H43" i="6"/>
  <c r="H37" i="6"/>
  <c r="H36" i="6"/>
  <c r="H33" i="6"/>
  <c r="H38" i="6" s="1"/>
  <c r="H34" i="6"/>
  <c r="H32" i="6"/>
  <c r="H26" i="6" l="1"/>
  <c r="H27" i="6" s="1"/>
  <c r="H13" i="6"/>
  <c r="H19" i="6"/>
  <c r="H20" i="6"/>
  <c r="H18" i="6"/>
  <c r="H16" i="6"/>
  <c r="H15" i="6"/>
  <c r="H12" i="6"/>
  <c r="H21" i="6" l="1"/>
  <c r="H48" i="6" s="1"/>
  <c r="B13" i="4"/>
  <c r="B12" i="4"/>
  <c r="B11" i="4"/>
  <c r="L573" i="5"/>
  <c r="K573" i="5"/>
  <c r="M573" i="5" s="1"/>
  <c r="L575" i="5" s="1"/>
  <c r="M568" i="5"/>
  <c r="L568" i="5"/>
  <c r="L567" i="5"/>
  <c r="M567" i="5" s="1"/>
  <c r="L566" i="5"/>
  <c r="M566" i="5" s="1"/>
  <c r="L565" i="5"/>
  <c r="M565" i="5" s="1"/>
  <c r="M564" i="5"/>
  <c r="L564" i="5"/>
  <c r="L563" i="5"/>
  <c r="M563" i="5" s="1"/>
  <c r="L562" i="5"/>
  <c r="M562" i="5" s="1"/>
  <c r="L569" i="5" s="1"/>
  <c r="J561" i="5"/>
  <c r="K561" i="5" s="1"/>
  <c r="K558" i="5" s="1"/>
  <c r="L556" i="5"/>
  <c r="K556" i="5"/>
  <c r="M556" i="5" s="1"/>
  <c r="M554" i="5"/>
  <c r="L554" i="5"/>
  <c r="L553" i="5"/>
  <c r="M553" i="5" s="1"/>
  <c r="L552" i="5"/>
  <c r="M552" i="5" s="1"/>
  <c r="L555" i="5" s="1"/>
  <c r="K550" i="5"/>
  <c r="M548" i="5"/>
  <c r="L548" i="5"/>
  <c r="L547" i="5"/>
  <c r="M547" i="5" s="1"/>
  <c r="L546" i="5"/>
  <c r="M546" i="5" s="1"/>
  <c r="L549" i="5" s="1"/>
  <c r="K545" i="5"/>
  <c r="J545" i="5"/>
  <c r="K542" i="5"/>
  <c r="M540" i="5"/>
  <c r="L540" i="5"/>
  <c r="L539" i="5"/>
  <c r="M539" i="5" s="1"/>
  <c r="L538" i="5"/>
  <c r="M538" i="5" s="1"/>
  <c r="L537" i="5"/>
  <c r="M537" i="5" s="1"/>
  <c r="L541" i="5" s="1"/>
  <c r="K536" i="5"/>
  <c r="K533" i="5" s="1"/>
  <c r="J536" i="5"/>
  <c r="J532" i="5"/>
  <c r="J531" i="5"/>
  <c r="K532" i="5" s="1"/>
  <c r="K528" i="5" s="1"/>
  <c r="M528" i="5" s="1"/>
  <c r="L528" i="5"/>
  <c r="L526" i="5"/>
  <c r="M526" i="5" s="1"/>
  <c r="L525" i="5"/>
  <c r="M525" i="5" s="1"/>
  <c r="M524" i="5"/>
  <c r="L524" i="5"/>
  <c r="M523" i="5"/>
  <c r="L523" i="5"/>
  <c r="L522" i="5"/>
  <c r="M522" i="5" s="1"/>
  <c r="J521" i="5"/>
  <c r="K521" i="5" s="1"/>
  <c r="K518" i="5" s="1"/>
  <c r="L516" i="5"/>
  <c r="M516" i="5" s="1"/>
  <c r="M515" i="5"/>
  <c r="L515" i="5"/>
  <c r="L514" i="5"/>
  <c r="M514" i="5" s="1"/>
  <c r="L513" i="5"/>
  <c r="M513" i="5" s="1"/>
  <c r="L512" i="5"/>
  <c r="M512" i="5" s="1"/>
  <c r="K510" i="5"/>
  <c r="L508" i="5"/>
  <c r="M508" i="5" s="1"/>
  <c r="M507" i="5"/>
  <c r="L507" i="5"/>
  <c r="M506" i="5"/>
  <c r="L506" i="5"/>
  <c r="M505" i="5"/>
  <c r="L505" i="5"/>
  <c r="L504" i="5"/>
  <c r="M504" i="5" s="1"/>
  <c r="L503" i="5"/>
  <c r="M503" i="5" s="1"/>
  <c r="M502" i="5"/>
  <c r="L502" i="5"/>
  <c r="K501" i="5"/>
  <c r="J501" i="5"/>
  <c r="K498" i="5"/>
  <c r="L494" i="5"/>
  <c r="M494" i="5" s="1"/>
  <c r="M493" i="5"/>
  <c r="L493" i="5"/>
  <c r="L492" i="5"/>
  <c r="M492" i="5" s="1"/>
  <c r="M491" i="5"/>
  <c r="L491" i="5"/>
  <c r="L490" i="5"/>
  <c r="M490" i="5" s="1"/>
  <c r="K488" i="5"/>
  <c r="L486" i="5"/>
  <c r="M486" i="5" s="1"/>
  <c r="L485" i="5"/>
  <c r="M485" i="5" s="1"/>
  <c r="M484" i="5"/>
  <c r="L484" i="5"/>
  <c r="L483" i="5"/>
  <c r="M483" i="5" s="1"/>
  <c r="L482" i="5"/>
  <c r="M482" i="5" s="1"/>
  <c r="K480" i="5"/>
  <c r="M478" i="5"/>
  <c r="L478" i="5"/>
  <c r="L477" i="5"/>
  <c r="M477" i="5" s="1"/>
  <c r="M476" i="5"/>
  <c r="L476" i="5"/>
  <c r="L475" i="5"/>
  <c r="M475" i="5" s="1"/>
  <c r="M474" i="5"/>
  <c r="L479" i="5" s="1"/>
  <c r="L474" i="5"/>
  <c r="J473" i="5"/>
  <c r="K473" i="5" s="1"/>
  <c r="K470" i="5" s="1"/>
  <c r="L468" i="5"/>
  <c r="M468" i="5" s="1"/>
  <c r="L467" i="5"/>
  <c r="M467" i="5" s="1"/>
  <c r="M466" i="5"/>
  <c r="L466" i="5"/>
  <c r="L465" i="5"/>
  <c r="M465" i="5" s="1"/>
  <c r="L464" i="5"/>
  <c r="M464" i="5" s="1"/>
  <c r="L463" i="5"/>
  <c r="M463" i="5" s="1"/>
  <c r="M462" i="5"/>
  <c r="L462" i="5"/>
  <c r="J461" i="5"/>
  <c r="K461" i="5" s="1"/>
  <c r="K458" i="5"/>
  <c r="L456" i="5"/>
  <c r="M456" i="5" s="1"/>
  <c r="M455" i="5"/>
  <c r="L455" i="5"/>
  <c r="L454" i="5"/>
  <c r="M454" i="5" s="1"/>
  <c r="M453" i="5"/>
  <c r="L453" i="5"/>
  <c r="L452" i="5"/>
  <c r="M452" i="5" s="1"/>
  <c r="M451" i="5"/>
  <c r="L451" i="5"/>
  <c r="L450" i="5"/>
  <c r="M450" i="5" s="1"/>
  <c r="K449" i="5"/>
  <c r="K446" i="5" s="1"/>
  <c r="J449" i="5"/>
  <c r="L444" i="5"/>
  <c r="K444" i="5"/>
  <c r="M444" i="5" s="1"/>
  <c r="M443" i="5"/>
  <c r="L442" i="5"/>
  <c r="M442" i="5" s="1"/>
  <c r="M441" i="5"/>
  <c r="L441" i="5"/>
  <c r="L440" i="5"/>
  <c r="M440" i="5" s="1"/>
  <c r="L443" i="5" s="1"/>
  <c r="L438" i="5" s="1"/>
  <c r="M438" i="5" s="1"/>
  <c r="K438" i="5"/>
  <c r="L436" i="5"/>
  <c r="M436" i="5" s="1"/>
  <c r="M435" i="5"/>
  <c r="L435" i="5"/>
  <c r="L434" i="5"/>
  <c r="M434" i="5" s="1"/>
  <c r="J433" i="5"/>
  <c r="J432" i="5"/>
  <c r="K433" i="5" s="1"/>
  <c r="K429" i="5"/>
  <c r="L427" i="5"/>
  <c r="M427" i="5" s="1"/>
  <c r="L426" i="5"/>
  <c r="M426" i="5" s="1"/>
  <c r="L425" i="5"/>
  <c r="M425" i="5" s="1"/>
  <c r="L424" i="5"/>
  <c r="M424" i="5" s="1"/>
  <c r="J423" i="5"/>
  <c r="J422" i="5"/>
  <c r="K423" i="5" s="1"/>
  <c r="K419" i="5"/>
  <c r="J418" i="5"/>
  <c r="J417" i="5"/>
  <c r="K418" i="5" s="1"/>
  <c r="K414" i="5" s="1"/>
  <c r="M414" i="5" s="1"/>
  <c r="L414" i="5"/>
  <c r="L412" i="5"/>
  <c r="M412" i="5" s="1"/>
  <c r="L411" i="5"/>
  <c r="M411" i="5" s="1"/>
  <c r="L410" i="5"/>
  <c r="M410" i="5" s="1"/>
  <c r="M409" i="5"/>
  <c r="L413" i="5" s="1"/>
  <c r="L409" i="5"/>
  <c r="L408" i="5"/>
  <c r="M408" i="5" s="1"/>
  <c r="J407" i="5"/>
  <c r="J406" i="5"/>
  <c r="K407" i="5" s="1"/>
  <c r="K403" i="5"/>
  <c r="L401" i="5"/>
  <c r="M401" i="5" s="1"/>
  <c r="L400" i="5"/>
  <c r="M400" i="5" s="1"/>
  <c r="L399" i="5"/>
  <c r="M399" i="5" s="1"/>
  <c r="L398" i="5"/>
  <c r="M398" i="5" s="1"/>
  <c r="L397" i="5"/>
  <c r="M397" i="5" s="1"/>
  <c r="J396" i="5"/>
  <c r="K396" i="5" s="1"/>
  <c r="K393" i="5" s="1"/>
  <c r="M391" i="5"/>
  <c r="L391" i="5"/>
  <c r="L390" i="5"/>
  <c r="M390" i="5" s="1"/>
  <c r="M389" i="5"/>
  <c r="L389" i="5"/>
  <c r="M388" i="5"/>
  <c r="L388" i="5"/>
  <c r="M387" i="5"/>
  <c r="L387" i="5"/>
  <c r="L386" i="5"/>
  <c r="M386" i="5" s="1"/>
  <c r="M385" i="5"/>
  <c r="L392" i="5" s="1"/>
  <c r="L385" i="5"/>
  <c r="K384" i="5"/>
  <c r="J384" i="5"/>
  <c r="K381" i="5"/>
  <c r="L377" i="5"/>
  <c r="M377" i="5" s="1"/>
  <c r="M376" i="5"/>
  <c r="L376" i="5"/>
  <c r="L375" i="5"/>
  <c r="M375" i="5" s="1"/>
  <c r="L374" i="5"/>
  <c r="M374" i="5" s="1"/>
  <c r="L373" i="5"/>
  <c r="M373" i="5" s="1"/>
  <c r="L378" i="5" s="1"/>
  <c r="M378" i="5" s="1"/>
  <c r="L371" i="5"/>
  <c r="M371" i="5" s="1"/>
  <c r="K371" i="5"/>
  <c r="M369" i="5"/>
  <c r="L369" i="5"/>
  <c r="L368" i="5"/>
  <c r="M368" i="5" s="1"/>
  <c r="M367" i="5"/>
  <c r="L367" i="5"/>
  <c r="M366" i="5"/>
  <c r="L366" i="5"/>
  <c r="M365" i="5"/>
  <c r="L365" i="5"/>
  <c r="K363" i="5"/>
  <c r="L361" i="5"/>
  <c r="M361" i="5" s="1"/>
  <c r="L360" i="5"/>
  <c r="M360" i="5" s="1"/>
  <c r="L359" i="5"/>
  <c r="M359" i="5" s="1"/>
  <c r="L358" i="5"/>
  <c r="M358" i="5" s="1"/>
  <c r="L357" i="5"/>
  <c r="M357" i="5" s="1"/>
  <c r="J356" i="5"/>
  <c r="K356" i="5" s="1"/>
  <c r="K353" i="5" s="1"/>
  <c r="M351" i="5"/>
  <c r="L351" i="5"/>
  <c r="L350" i="5"/>
  <c r="M350" i="5" s="1"/>
  <c r="M349" i="5"/>
  <c r="L349" i="5"/>
  <c r="M348" i="5"/>
  <c r="L348" i="5"/>
  <c r="M347" i="5"/>
  <c r="L347" i="5"/>
  <c r="L346" i="5"/>
  <c r="M346" i="5" s="1"/>
  <c r="M345" i="5"/>
  <c r="L345" i="5"/>
  <c r="K344" i="5"/>
  <c r="J344" i="5"/>
  <c r="K341" i="5"/>
  <c r="L339" i="5"/>
  <c r="M339" i="5" s="1"/>
  <c r="L338" i="5"/>
  <c r="M338" i="5" s="1"/>
  <c r="L337" i="5"/>
  <c r="M337" i="5" s="1"/>
  <c r="M336" i="5"/>
  <c r="L336" i="5"/>
  <c r="L335" i="5"/>
  <c r="M335" i="5" s="1"/>
  <c r="L334" i="5"/>
  <c r="M334" i="5" s="1"/>
  <c r="L333" i="5"/>
  <c r="M333" i="5" s="1"/>
  <c r="L340" i="5" s="1"/>
  <c r="J332" i="5"/>
  <c r="K332" i="5" s="1"/>
  <c r="K329" i="5" s="1"/>
  <c r="L327" i="5"/>
  <c r="K327" i="5"/>
  <c r="M327" i="5" s="1"/>
  <c r="L325" i="5"/>
  <c r="M325" i="5" s="1"/>
  <c r="L324" i="5"/>
  <c r="M324" i="5" s="1"/>
  <c r="L323" i="5"/>
  <c r="M323" i="5" s="1"/>
  <c r="L326" i="5" s="1"/>
  <c r="K321" i="5"/>
  <c r="M319" i="5"/>
  <c r="L319" i="5"/>
  <c r="L318" i="5"/>
  <c r="M318" i="5" s="1"/>
  <c r="M317" i="5"/>
  <c r="L320" i="5" s="1"/>
  <c r="L317" i="5"/>
  <c r="K316" i="5"/>
  <c r="J316" i="5"/>
  <c r="J315" i="5"/>
  <c r="K312" i="5"/>
  <c r="M311" i="5"/>
  <c r="M310" i="5"/>
  <c r="L310" i="5"/>
  <c r="M309" i="5"/>
  <c r="L309" i="5"/>
  <c r="L308" i="5"/>
  <c r="M308" i="5" s="1"/>
  <c r="M307" i="5"/>
  <c r="L311" i="5" s="1"/>
  <c r="L302" i="5" s="1"/>
  <c r="L307" i="5"/>
  <c r="K306" i="5"/>
  <c r="J306" i="5"/>
  <c r="J305" i="5"/>
  <c r="K302" i="5"/>
  <c r="M302" i="5" s="1"/>
  <c r="K301" i="5"/>
  <c r="K297" i="5" s="1"/>
  <c r="M297" i="5" s="1"/>
  <c r="J301" i="5"/>
  <c r="J300" i="5"/>
  <c r="L297" i="5"/>
  <c r="M295" i="5"/>
  <c r="L295" i="5"/>
  <c r="M294" i="5"/>
  <c r="L294" i="5"/>
  <c r="M293" i="5"/>
  <c r="L293" i="5"/>
  <c r="L292" i="5"/>
  <c r="M292" i="5" s="1"/>
  <c r="M291" i="5"/>
  <c r="L296" i="5" s="1"/>
  <c r="L291" i="5"/>
  <c r="K290" i="5"/>
  <c r="J290" i="5"/>
  <c r="J289" i="5"/>
  <c r="K286" i="5"/>
  <c r="M284" i="5"/>
  <c r="L284" i="5"/>
  <c r="M283" i="5"/>
  <c r="L283" i="5"/>
  <c r="L282" i="5"/>
  <c r="M282" i="5" s="1"/>
  <c r="M281" i="5"/>
  <c r="L281" i="5"/>
  <c r="M280" i="5"/>
  <c r="L280" i="5"/>
  <c r="K279" i="5"/>
  <c r="J279" i="5"/>
  <c r="K276" i="5"/>
  <c r="L274" i="5"/>
  <c r="M274" i="5" s="1"/>
  <c r="L273" i="5"/>
  <c r="M273" i="5" s="1"/>
  <c r="M272" i="5"/>
  <c r="L272" i="5"/>
  <c r="L271" i="5"/>
  <c r="M271" i="5" s="1"/>
  <c r="L270" i="5"/>
  <c r="M270" i="5" s="1"/>
  <c r="L269" i="5"/>
  <c r="M269" i="5" s="1"/>
  <c r="L268" i="5"/>
  <c r="M268" i="5" s="1"/>
  <c r="L275" i="5" s="1"/>
  <c r="J267" i="5"/>
  <c r="K267" i="5" s="1"/>
  <c r="K264" i="5" s="1"/>
  <c r="M260" i="5"/>
  <c r="L260" i="5"/>
  <c r="L259" i="5"/>
  <c r="M259" i="5" s="1"/>
  <c r="M258" i="5"/>
  <c r="L258" i="5"/>
  <c r="M257" i="5"/>
  <c r="L257" i="5"/>
  <c r="M256" i="5"/>
  <c r="L256" i="5"/>
  <c r="L255" i="5"/>
  <c r="M255" i="5" s="1"/>
  <c r="M254" i="5"/>
  <c r="L254" i="5"/>
  <c r="K253" i="5"/>
  <c r="J253" i="5"/>
  <c r="K250" i="5"/>
  <c r="L248" i="5"/>
  <c r="M248" i="5" s="1"/>
  <c r="L247" i="5"/>
  <c r="M247" i="5" s="1"/>
  <c r="L246" i="5"/>
  <c r="M246" i="5" s="1"/>
  <c r="M245" i="5"/>
  <c r="L249" i="5" s="1"/>
  <c r="L245" i="5"/>
  <c r="L244" i="5"/>
  <c r="M244" i="5" s="1"/>
  <c r="K242" i="5"/>
  <c r="M240" i="5"/>
  <c r="L240" i="5"/>
  <c r="M239" i="5"/>
  <c r="L239" i="5"/>
  <c r="M238" i="5"/>
  <c r="L238" i="5"/>
  <c r="L237" i="5"/>
  <c r="M237" i="5" s="1"/>
  <c r="M236" i="5"/>
  <c r="L241" i="5" s="1"/>
  <c r="L236" i="5"/>
  <c r="K234" i="5"/>
  <c r="L232" i="5"/>
  <c r="M232" i="5" s="1"/>
  <c r="L231" i="5"/>
  <c r="M231" i="5" s="1"/>
  <c r="L230" i="5"/>
  <c r="M230" i="5" s="1"/>
  <c r="L229" i="5"/>
  <c r="M229" i="5" s="1"/>
  <c r="M228" i="5"/>
  <c r="L228" i="5"/>
  <c r="J227" i="5"/>
  <c r="K227" i="5" s="1"/>
  <c r="K224" i="5" s="1"/>
  <c r="M222" i="5"/>
  <c r="L222" i="5"/>
  <c r="M221" i="5"/>
  <c r="L221" i="5"/>
  <c r="M220" i="5"/>
  <c r="L220" i="5"/>
  <c r="L219" i="5"/>
  <c r="M219" i="5" s="1"/>
  <c r="M218" i="5"/>
  <c r="L223" i="5" s="1"/>
  <c r="L218" i="5"/>
  <c r="M217" i="5"/>
  <c r="L217" i="5"/>
  <c r="M216" i="5"/>
  <c r="L216" i="5"/>
  <c r="J215" i="5"/>
  <c r="K215" i="5" s="1"/>
  <c r="K212" i="5" s="1"/>
  <c r="L210" i="5"/>
  <c r="M210" i="5" s="1"/>
  <c r="M209" i="5"/>
  <c r="L209" i="5"/>
  <c r="L208" i="5"/>
  <c r="M208" i="5" s="1"/>
  <c r="L207" i="5"/>
  <c r="M207" i="5" s="1"/>
  <c r="L206" i="5"/>
  <c r="M206" i="5" s="1"/>
  <c r="L205" i="5"/>
  <c r="M205" i="5" s="1"/>
  <c r="L204" i="5"/>
  <c r="M204" i="5" s="1"/>
  <c r="J203" i="5"/>
  <c r="K203" i="5" s="1"/>
  <c r="K200" i="5" s="1"/>
  <c r="M198" i="5"/>
  <c r="L198" i="5"/>
  <c r="K198" i="5"/>
  <c r="L196" i="5"/>
  <c r="M196" i="5" s="1"/>
  <c r="L195" i="5"/>
  <c r="M195" i="5" s="1"/>
  <c r="L194" i="5"/>
  <c r="M194" i="5" s="1"/>
  <c r="K192" i="5"/>
  <c r="L191" i="5"/>
  <c r="M190" i="5"/>
  <c r="L190" i="5"/>
  <c r="M189" i="5"/>
  <c r="L189" i="5"/>
  <c r="M188" i="5"/>
  <c r="L188" i="5"/>
  <c r="J187" i="5"/>
  <c r="J186" i="5"/>
  <c r="K187" i="5" s="1"/>
  <c r="K183" i="5" s="1"/>
  <c r="L181" i="5"/>
  <c r="M181" i="5" s="1"/>
  <c r="M180" i="5"/>
  <c r="L180" i="5"/>
  <c r="M179" i="5"/>
  <c r="L179" i="5"/>
  <c r="M178" i="5"/>
  <c r="L182" i="5" s="1"/>
  <c r="L178" i="5"/>
  <c r="J177" i="5"/>
  <c r="J176" i="5"/>
  <c r="J172" i="5"/>
  <c r="J171" i="5"/>
  <c r="K172" i="5" s="1"/>
  <c r="K168" i="5" s="1"/>
  <c r="L168" i="5"/>
  <c r="M168" i="5" s="1"/>
  <c r="M166" i="5"/>
  <c r="L166" i="5"/>
  <c r="L165" i="5"/>
  <c r="M165" i="5" s="1"/>
  <c r="M164" i="5"/>
  <c r="L164" i="5"/>
  <c r="M163" i="5"/>
  <c r="L163" i="5"/>
  <c r="M162" i="5"/>
  <c r="L167" i="5" s="1"/>
  <c r="L162" i="5"/>
  <c r="J161" i="5"/>
  <c r="J160" i="5"/>
  <c r="K161" i="5" s="1"/>
  <c r="K157" i="5" s="1"/>
  <c r="L155" i="5"/>
  <c r="M155" i="5" s="1"/>
  <c r="M154" i="5"/>
  <c r="L154" i="5"/>
  <c r="M153" i="5"/>
  <c r="L153" i="5"/>
  <c r="M152" i="5"/>
  <c r="L152" i="5"/>
  <c r="L151" i="5"/>
  <c r="M151" i="5" s="1"/>
  <c r="L156" i="5" s="1"/>
  <c r="K150" i="5"/>
  <c r="K147" i="5" s="1"/>
  <c r="J150" i="5"/>
  <c r="L142" i="5"/>
  <c r="M142" i="5" s="1"/>
  <c r="M141" i="5"/>
  <c r="L141" i="5"/>
  <c r="L140" i="5"/>
  <c r="M140" i="5" s="1"/>
  <c r="L139" i="5"/>
  <c r="M139" i="5" s="1"/>
  <c r="L138" i="5"/>
  <c r="M138" i="5" s="1"/>
  <c r="L137" i="5"/>
  <c r="M137" i="5" s="1"/>
  <c r="L136" i="5"/>
  <c r="M136" i="5" s="1"/>
  <c r="L135" i="5"/>
  <c r="M135" i="5" s="1"/>
  <c r="L134" i="5"/>
  <c r="M134" i="5" s="1"/>
  <c r="M133" i="5"/>
  <c r="L133" i="5"/>
  <c r="L132" i="5"/>
  <c r="M132" i="5" s="1"/>
  <c r="L131" i="5"/>
  <c r="M131" i="5" s="1"/>
  <c r="L130" i="5"/>
  <c r="M130" i="5" s="1"/>
  <c r="L129" i="5"/>
  <c r="M129" i="5" s="1"/>
  <c r="L128" i="5"/>
  <c r="M128" i="5" s="1"/>
  <c r="K126" i="5"/>
  <c r="M124" i="5"/>
  <c r="L125" i="5" s="1"/>
  <c r="L124" i="5"/>
  <c r="M123" i="5"/>
  <c r="L123" i="5"/>
  <c r="K121" i="5"/>
  <c r="L119" i="5"/>
  <c r="M119" i="5" s="1"/>
  <c r="L118" i="5"/>
  <c r="M118" i="5" s="1"/>
  <c r="L117" i="5"/>
  <c r="M117" i="5" s="1"/>
  <c r="L116" i="5"/>
  <c r="M116" i="5" s="1"/>
  <c r="L115" i="5"/>
  <c r="M115" i="5" s="1"/>
  <c r="L114" i="5"/>
  <c r="M114" i="5" s="1"/>
  <c r="L113" i="5"/>
  <c r="M113" i="5" s="1"/>
  <c r="L112" i="5"/>
  <c r="M112" i="5" s="1"/>
  <c r="L111" i="5"/>
  <c r="M111" i="5" s="1"/>
  <c r="L110" i="5"/>
  <c r="M110" i="5" s="1"/>
  <c r="L109" i="5"/>
  <c r="M109" i="5" s="1"/>
  <c r="M108" i="5"/>
  <c r="L108" i="5"/>
  <c r="L107" i="5"/>
  <c r="M107" i="5" s="1"/>
  <c r="L106" i="5"/>
  <c r="M106" i="5" s="1"/>
  <c r="L105" i="5"/>
  <c r="M105" i="5" s="1"/>
  <c r="L104" i="5"/>
  <c r="M104" i="5" s="1"/>
  <c r="L120" i="5" s="1"/>
  <c r="K102" i="5"/>
  <c r="L100" i="5"/>
  <c r="M100" i="5" s="1"/>
  <c r="M99" i="5"/>
  <c r="L99" i="5"/>
  <c r="M98" i="5"/>
  <c r="L98" i="5"/>
  <c r="M97" i="5"/>
  <c r="L97" i="5"/>
  <c r="L96" i="5"/>
  <c r="M96" i="5" s="1"/>
  <c r="M95" i="5"/>
  <c r="L95" i="5"/>
  <c r="M94" i="5"/>
  <c r="L94" i="5"/>
  <c r="M93" i="5"/>
  <c r="L93" i="5"/>
  <c r="L92" i="5"/>
  <c r="M92" i="5" s="1"/>
  <c r="M91" i="5"/>
  <c r="L91" i="5"/>
  <c r="M90" i="5"/>
  <c r="L90" i="5"/>
  <c r="M89" i="5"/>
  <c r="L89" i="5"/>
  <c r="L88" i="5"/>
  <c r="M88" i="5" s="1"/>
  <c r="M87" i="5"/>
  <c r="L87" i="5"/>
  <c r="M86" i="5"/>
  <c r="L86" i="5"/>
  <c r="M85" i="5"/>
  <c r="L85" i="5"/>
  <c r="K83" i="5"/>
  <c r="L81" i="5"/>
  <c r="M81" i="5" s="1"/>
  <c r="L80" i="5"/>
  <c r="M80" i="5" s="1"/>
  <c r="M79" i="5"/>
  <c r="L79" i="5"/>
  <c r="L78" i="5"/>
  <c r="M78" i="5" s="1"/>
  <c r="L77" i="5"/>
  <c r="M77" i="5" s="1"/>
  <c r="L76" i="5"/>
  <c r="M76" i="5" s="1"/>
  <c r="L75" i="5"/>
  <c r="M75" i="5" s="1"/>
  <c r="L74" i="5"/>
  <c r="M74" i="5" s="1"/>
  <c r="L73" i="5"/>
  <c r="M73" i="5" s="1"/>
  <c r="J72" i="5"/>
  <c r="J71" i="5"/>
  <c r="K72" i="5" s="1"/>
  <c r="K68" i="5" s="1"/>
  <c r="J67" i="5"/>
  <c r="K67" i="5" s="1"/>
  <c r="L64" i="5"/>
  <c r="K64" i="5"/>
  <c r="M64" i="5" s="1"/>
  <c r="K63" i="5"/>
  <c r="K60" i="5" s="1"/>
  <c r="M60" i="5" s="1"/>
  <c r="J63" i="5"/>
  <c r="L60" i="5"/>
  <c r="M58" i="5"/>
  <c r="L58" i="5"/>
  <c r="L57" i="5"/>
  <c r="M57" i="5" s="1"/>
  <c r="L56" i="5"/>
  <c r="M56" i="5" s="1"/>
  <c r="L55" i="5"/>
  <c r="M55" i="5" s="1"/>
  <c r="L54" i="5"/>
  <c r="M54" i="5" s="1"/>
  <c r="L53" i="5"/>
  <c r="M53" i="5" s="1"/>
  <c r="L52" i="5"/>
  <c r="M52" i="5" s="1"/>
  <c r="J51" i="5"/>
  <c r="K51" i="5" s="1"/>
  <c r="K48" i="5" s="1"/>
  <c r="M46" i="5"/>
  <c r="L46" i="5"/>
  <c r="L45" i="5"/>
  <c r="M45" i="5" s="1"/>
  <c r="M44" i="5"/>
  <c r="L44" i="5"/>
  <c r="M43" i="5"/>
  <c r="L43" i="5"/>
  <c r="M42" i="5"/>
  <c r="L42" i="5"/>
  <c r="L41" i="5"/>
  <c r="M41" i="5" s="1"/>
  <c r="M40" i="5"/>
  <c r="L40" i="5"/>
  <c r="M39" i="5"/>
  <c r="L39" i="5"/>
  <c r="K38" i="5"/>
  <c r="J38" i="5"/>
  <c r="K35" i="5"/>
  <c r="J34" i="5"/>
  <c r="J33" i="5"/>
  <c r="K34" i="5" s="1"/>
  <c r="L30" i="5"/>
  <c r="K30" i="5"/>
  <c r="M30" i="5" s="1"/>
  <c r="L28" i="5"/>
  <c r="M28" i="5" s="1"/>
  <c r="L27" i="5"/>
  <c r="M27" i="5" s="1"/>
  <c r="L26" i="5"/>
  <c r="M26" i="5" s="1"/>
  <c r="L25" i="5"/>
  <c r="M25" i="5" s="1"/>
  <c r="L29" i="5" s="1"/>
  <c r="L24" i="5"/>
  <c r="M24" i="5" s="1"/>
  <c r="J23" i="5"/>
  <c r="K23" i="5" s="1"/>
  <c r="K20" i="5"/>
  <c r="M18" i="5"/>
  <c r="L18" i="5"/>
  <c r="M17" i="5"/>
  <c r="L17" i="5"/>
  <c r="L16" i="5"/>
  <c r="M16" i="5" s="1"/>
  <c r="M15" i="5"/>
  <c r="L15" i="5"/>
  <c r="M14" i="5"/>
  <c r="L14" i="5"/>
  <c r="K13" i="5"/>
  <c r="J13" i="5"/>
  <c r="K10" i="5"/>
  <c r="J9" i="5"/>
  <c r="K9" i="5" s="1"/>
  <c r="K6" i="5" s="1"/>
  <c r="M6" i="5" s="1"/>
  <c r="L6" i="5"/>
  <c r="B9" i="4"/>
  <c r="B8" i="4"/>
  <c r="B7" i="4"/>
  <c r="B5" i="4"/>
  <c r="B4" i="4"/>
  <c r="B3" i="4"/>
  <c r="B16" i="4"/>
  <c r="B15" i="4"/>
  <c r="H410" i="1"/>
  <c r="L544" i="3"/>
  <c r="M544" i="3" s="1"/>
  <c r="L543" i="3"/>
  <c r="M543" i="3" s="1"/>
  <c r="L542" i="3"/>
  <c r="M542" i="3" s="1"/>
  <c r="L541" i="3"/>
  <c r="M541" i="3" s="1"/>
  <c r="L545" i="3" s="1"/>
  <c r="J540" i="3"/>
  <c r="K540" i="3" s="1"/>
  <c r="K537" i="3" s="1"/>
  <c r="L535" i="3"/>
  <c r="M535" i="3" s="1"/>
  <c r="M534" i="3"/>
  <c r="L534" i="3"/>
  <c r="M533" i="3"/>
  <c r="L533" i="3"/>
  <c r="M532" i="3"/>
  <c r="L532" i="3"/>
  <c r="L531" i="3"/>
  <c r="M531" i="3" s="1"/>
  <c r="K530" i="3"/>
  <c r="K524" i="3" s="1"/>
  <c r="J530" i="3"/>
  <c r="J529" i="3"/>
  <c r="J528" i="3"/>
  <c r="J527" i="3"/>
  <c r="M522" i="3"/>
  <c r="L522" i="3"/>
  <c r="M521" i="3"/>
  <c r="L521" i="3"/>
  <c r="L520" i="3"/>
  <c r="M520" i="3" s="1"/>
  <c r="M519" i="3"/>
  <c r="L523" i="3" s="1"/>
  <c r="L519" i="3"/>
  <c r="K518" i="3"/>
  <c r="K515" i="3" s="1"/>
  <c r="J518" i="3"/>
  <c r="L513" i="3"/>
  <c r="M513" i="3" s="1"/>
  <c r="L512" i="3"/>
  <c r="M512" i="3" s="1"/>
  <c r="M511" i="3"/>
  <c r="L511" i="3"/>
  <c r="L510" i="3"/>
  <c r="M510" i="3" s="1"/>
  <c r="L514" i="3" s="1"/>
  <c r="J509" i="3"/>
  <c r="K509" i="3" s="1"/>
  <c r="K506" i="3" s="1"/>
  <c r="M504" i="3"/>
  <c r="L504" i="3"/>
  <c r="M503" i="3"/>
  <c r="L505" i="3" s="1"/>
  <c r="L503" i="3"/>
  <c r="K501" i="3"/>
  <c r="L499" i="3"/>
  <c r="M499" i="3" s="1"/>
  <c r="L498" i="3"/>
  <c r="M498" i="3" s="1"/>
  <c r="L500" i="3" s="1"/>
  <c r="K496" i="3"/>
  <c r="M494" i="3"/>
  <c r="L494" i="3"/>
  <c r="M493" i="3"/>
  <c r="L495" i="3" s="1"/>
  <c r="L493" i="3"/>
  <c r="K491" i="3"/>
  <c r="L489" i="3"/>
  <c r="M489" i="3" s="1"/>
  <c r="L490" i="3" s="1"/>
  <c r="M488" i="3"/>
  <c r="L488" i="3"/>
  <c r="K486" i="3"/>
  <c r="M484" i="3"/>
  <c r="L484" i="3"/>
  <c r="L483" i="3"/>
  <c r="M483" i="3" s="1"/>
  <c r="L485" i="3" s="1"/>
  <c r="K481" i="3"/>
  <c r="M479" i="3"/>
  <c r="L479" i="3"/>
  <c r="L478" i="3"/>
  <c r="M478" i="3" s="1"/>
  <c r="L480" i="3" s="1"/>
  <c r="K476" i="3"/>
  <c r="L474" i="3"/>
  <c r="M474" i="3" s="1"/>
  <c r="M473" i="3"/>
  <c r="L475" i="3" s="1"/>
  <c r="L473" i="3"/>
  <c r="K471" i="3"/>
  <c r="L469" i="3"/>
  <c r="M469" i="3" s="1"/>
  <c r="L468" i="3"/>
  <c r="M468" i="3" s="1"/>
  <c r="L470" i="3" s="1"/>
  <c r="K466" i="3"/>
  <c r="M464" i="3"/>
  <c r="L464" i="3"/>
  <c r="M463" i="3"/>
  <c r="L465" i="3" s="1"/>
  <c r="L463" i="3"/>
  <c r="K461" i="3"/>
  <c r="L459" i="3"/>
  <c r="M459" i="3" s="1"/>
  <c r="L458" i="3"/>
  <c r="M458" i="3" s="1"/>
  <c r="L460" i="3" s="1"/>
  <c r="K456" i="3"/>
  <c r="M454" i="3"/>
  <c r="L454" i="3"/>
  <c r="M453" i="3"/>
  <c r="L455" i="3" s="1"/>
  <c r="L453" i="3"/>
  <c r="K451" i="3"/>
  <c r="L449" i="3"/>
  <c r="M449" i="3" s="1"/>
  <c r="L450" i="3" s="1"/>
  <c r="M448" i="3"/>
  <c r="L448" i="3"/>
  <c r="K446" i="3"/>
  <c r="M444" i="3"/>
  <c r="L444" i="3"/>
  <c r="L443" i="3"/>
  <c r="M443" i="3" s="1"/>
  <c r="L445" i="3" s="1"/>
  <c r="K441" i="3"/>
  <c r="M439" i="3"/>
  <c r="L439" i="3"/>
  <c r="L438" i="3"/>
  <c r="M438" i="3" s="1"/>
  <c r="L440" i="3" s="1"/>
  <c r="K436" i="3"/>
  <c r="L434" i="3"/>
  <c r="M434" i="3" s="1"/>
  <c r="L435" i="3" s="1"/>
  <c r="K432" i="3"/>
  <c r="L431" i="3"/>
  <c r="M431" i="3" s="1"/>
  <c r="M430" i="3"/>
  <c r="L430" i="3"/>
  <c r="L428" i="3"/>
  <c r="M428" i="3" s="1"/>
  <c r="K428" i="3"/>
  <c r="M426" i="3"/>
  <c r="L426" i="3"/>
  <c r="M424" i="3"/>
  <c r="L425" i="3" s="1"/>
  <c r="L424" i="3"/>
  <c r="K422" i="3"/>
  <c r="J422" i="3"/>
  <c r="K419" i="3"/>
  <c r="L417" i="3"/>
  <c r="M417" i="3" s="1"/>
  <c r="L418" i="3" s="1"/>
  <c r="K415" i="3"/>
  <c r="M413" i="3"/>
  <c r="L414" i="3" s="1"/>
  <c r="L413" i="3"/>
  <c r="K411" i="3"/>
  <c r="L409" i="3"/>
  <c r="M409" i="3" s="1"/>
  <c r="L410" i="3" s="1"/>
  <c r="K407" i="3"/>
  <c r="M405" i="3"/>
  <c r="L406" i="3" s="1"/>
  <c r="L405" i="3"/>
  <c r="K403" i="3"/>
  <c r="M396" i="3"/>
  <c r="L396" i="3"/>
  <c r="L395" i="3"/>
  <c r="M395" i="3" s="1"/>
  <c r="L394" i="3"/>
  <c r="M394" i="3" s="1"/>
  <c r="L393" i="3"/>
  <c r="M393" i="3" s="1"/>
  <c r="M392" i="3"/>
  <c r="L392" i="3"/>
  <c r="L391" i="3"/>
  <c r="M391" i="3" s="1"/>
  <c r="L390" i="3"/>
  <c r="M390" i="3" s="1"/>
  <c r="L389" i="3"/>
  <c r="M389" i="3" s="1"/>
  <c r="M388" i="3"/>
  <c r="L388" i="3"/>
  <c r="K386" i="3"/>
  <c r="K385" i="3"/>
  <c r="K382" i="3" s="1"/>
  <c r="M382" i="3" s="1"/>
  <c r="J385" i="3"/>
  <c r="L382" i="3"/>
  <c r="L380" i="3"/>
  <c r="M380" i="3" s="1"/>
  <c r="L379" i="3"/>
  <c r="M379" i="3" s="1"/>
  <c r="M378" i="3"/>
  <c r="L378" i="3"/>
  <c r="L377" i="3"/>
  <c r="M377" i="3" s="1"/>
  <c r="J376" i="3"/>
  <c r="K376" i="3" s="1"/>
  <c r="K373" i="3" s="1"/>
  <c r="M371" i="3"/>
  <c r="L372" i="3" s="1"/>
  <c r="L371" i="3"/>
  <c r="M370" i="3"/>
  <c r="L370" i="3"/>
  <c r="K369" i="3"/>
  <c r="J369" i="3"/>
  <c r="K366" i="3"/>
  <c r="L364" i="3"/>
  <c r="M364" i="3" s="1"/>
  <c r="M363" i="3"/>
  <c r="L363" i="3"/>
  <c r="J362" i="3"/>
  <c r="K362" i="3" s="1"/>
  <c r="K359" i="3" s="1"/>
  <c r="M355" i="3"/>
  <c r="L355" i="3"/>
  <c r="K355" i="3"/>
  <c r="M353" i="3"/>
  <c r="L353" i="3"/>
  <c r="L352" i="3"/>
  <c r="M352" i="3" s="1"/>
  <c r="L351" i="3"/>
  <c r="M351" i="3" s="1"/>
  <c r="K349" i="3"/>
  <c r="M347" i="3"/>
  <c r="L347" i="3"/>
  <c r="M346" i="3"/>
  <c r="L346" i="3"/>
  <c r="M345" i="3"/>
  <c r="L348" i="3" s="1"/>
  <c r="L345" i="3"/>
  <c r="K343" i="3"/>
  <c r="L341" i="3"/>
  <c r="M341" i="3" s="1"/>
  <c r="M340" i="3"/>
  <c r="L340" i="3"/>
  <c r="L339" i="3"/>
  <c r="M339" i="3" s="1"/>
  <c r="L338" i="3"/>
  <c r="M338" i="3" s="1"/>
  <c r="K336" i="3"/>
  <c r="L334" i="3"/>
  <c r="K334" i="3"/>
  <c r="M334" i="3" s="1"/>
  <c r="L332" i="3"/>
  <c r="M332" i="3" s="1"/>
  <c r="M331" i="3"/>
  <c r="L331" i="3"/>
  <c r="L330" i="3"/>
  <c r="M330" i="3" s="1"/>
  <c r="L329" i="3"/>
  <c r="M329" i="3" s="1"/>
  <c r="K327" i="3"/>
  <c r="M325" i="3"/>
  <c r="L325" i="3"/>
  <c r="M324" i="3"/>
  <c r="L324" i="3"/>
  <c r="M323" i="3"/>
  <c r="L323" i="3"/>
  <c r="L322" i="3"/>
  <c r="M322" i="3" s="1"/>
  <c r="M321" i="3"/>
  <c r="L326" i="3" s="1"/>
  <c r="L321" i="3"/>
  <c r="K320" i="3"/>
  <c r="K317" i="3" s="1"/>
  <c r="J320" i="3"/>
  <c r="J316" i="3"/>
  <c r="K316" i="3" s="1"/>
  <c r="K313" i="3" s="1"/>
  <c r="M313" i="3" s="1"/>
  <c r="L313" i="3"/>
  <c r="L311" i="3"/>
  <c r="M311" i="3" s="1"/>
  <c r="M310" i="3"/>
  <c r="L310" i="3"/>
  <c r="M309" i="3"/>
  <c r="L309" i="3"/>
  <c r="M308" i="3"/>
  <c r="L308" i="3"/>
  <c r="L307" i="3"/>
  <c r="M307" i="3" s="1"/>
  <c r="M306" i="3"/>
  <c r="L306" i="3"/>
  <c r="M305" i="3"/>
  <c r="L305" i="3"/>
  <c r="K304" i="3"/>
  <c r="J304" i="3"/>
  <c r="K301" i="3"/>
  <c r="L299" i="3"/>
  <c r="M299" i="3" s="1"/>
  <c r="M298" i="3"/>
  <c r="L298" i="3"/>
  <c r="L297" i="3"/>
  <c r="M297" i="3" s="1"/>
  <c r="L296" i="3"/>
  <c r="M296" i="3" s="1"/>
  <c r="L295" i="3"/>
  <c r="M295" i="3" s="1"/>
  <c r="J294" i="3"/>
  <c r="J293" i="3"/>
  <c r="K294" i="3" s="1"/>
  <c r="K290" i="3" s="1"/>
  <c r="J289" i="3"/>
  <c r="K289" i="3" s="1"/>
  <c r="K286" i="3" s="1"/>
  <c r="M286" i="3" s="1"/>
  <c r="L286" i="3"/>
  <c r="M284" i="3"/>
  <c r="L284" i="3"/>
  <c r="M283" i="3"/>
  <c r="L283" i="3"/>
  <c r="L282" i="3"/>
  <c r="M282" i="3" s="1"/>
  <c r="M281" i="3"/>
  <c r="L281" i="3"/>
  <c r="M280" i="3"/>
  <c r="L285" i="3" s="1"/>
  <c r="L280" i="3"/>
  <c r="K279" i="3"/>
  <c r="K275" i="3" s="1"/>
  <c r="J279" i="3"/>
  <c r="J278" i="3"/>
  <c r="M273" i="3"/>
  <c r="L273" i="3"/>
  <c r="L272" i="3"/>
  <c r="M272" i="3" s="1"/>
  <c r="M271" i="3"/>
  <c r="L271" i="3"/>
  <c r="M270" i="3"/>
  <c r="L270" i="3"/>
  <c r="M269" i="3"/>
  <c r="L269" i="3"/>
  <c r="L268" i="3"/>
  <c r="M268" i="3" s="1"/>
  <c r="M267" i="3"/>
  <c r="L267" i="3"/>
  <c r="J266" i="3"/>
  <c r="J265" i="3"/>
  <c r="K266" i="3" s="1"/>
  <c r="K262" i="3" s="1"/>
  <c r="M258" i="3"/>
  <c r="L258" i="3"/>
  <c r="K258" i="3"/>
  <c r="L256" i="3"/>
  <c r="M256" i="3" s="1"/>
  <c r="L255" i="3"/>
  <c r="M255" i="3" s="1"/>
  <c r="M254" i="3"/>
  <c r="L254" i="3"/>
  <c r="K252" i="3"/>
  <c r="M250" i="3"/>
  <c r="L250" i="3"/>
  <c r="L249" i="3"/>
  <c r="M249" i="3" s="1"/>
  <c r="M248" i="3"/>
  <c r="L251" i="3" s="1"/>
  <c r="L248" i="3"/>
  <c r="K246" i="3"/>
  <c r="L244" i="3"/>
  <c r="M244" i="3" s="1"/>
  <c r="L243" i="3"/>
  <c r="M243" i="3" s="1"/>
  <c r="L242" i="3"/>
  <c r="M242" i="3" s="1"/>
  <c r="M241" i="3"/>
  <c r="L241" i="3"/>
  <c r="K239" i="3"/>
  <c r="L237" i="3"/>
  <c r="K237" i="3"/>
  <c r="M237" i="3" s="1"/>
  <c r="L235" i="3"/>
  <c r="M235" i="3" s="1"/>
  <c r="L234" i="3"/>
  <c r="M234" i="3" s="1"/>
  <c r="L233" i="3"/>
  <c r="M233" i="3" s="1"/>
  <c r="M232" i="3"/>
  <c r="L232" i="3"/>
  <c r="K230" i="3"/>
  <c r="M228" i="3"/>
  <c r="L228" i="3"/>
  <c r="L227" i="3"/>
  <c r="M227" i="3" s="1"/>
  <c r="M226" i="3"/>
  <c r="L226" i="3"/>
  <c r="M225" i="3"/>
  <c r="L225" i="3"/>
  <c r="M224" i="3"/>
  <c r="L229" i="3" s="1"/>
  <c r="L224" i="3"/>
  <c r="J223" i="3"/>
  <c r="K223" i="3" s="1"/>
  <c r="K220" i="3" s="1"/>
  <c r="M218" i="3"/>
  <c r="L218" i="3"/>
  <c r="L217" i="3"/>
  <c r="M217" i="3" s="1"/>
  <c r="L216" i="3"/>
  <c r="M216" i="3" s="1"/>
  <c r="L215" i="3"/>
  <c r="M215" i="3" s="1"/>
  <c r="M214" i="3"/>
  <c r="L214" i="3"/>
  <c r="J213" i="3"/>
  <c r="K213" i="3" s="1"/>
  <c r="K210" i="3" s="1"/>
  <c r="K209" i="3"/>
  <c r="J209" i="3"/>
  <c r="L206" i="3"/>
  <c r="K206" i="3"/>
  <c r="M206" i="3" s="1"/>
  <c r="L204" i="3"/>
  <c r="M204" i="3" s="1"/>
  <c r="M203" i="3"/>
  <c r="L203" i="3"/>
  <c r="L202" i="3"/>
  <c r="M202" i="3" s="1"/>
  <c r="L201" i="3"/>
  <c r="M201" i="3" s="1"/>
  <c r="L200" i="3"/>
  <c r="M200" i="3" s="1"/>
  <c r="M199" i="3"/>
  <c r="L199" i="3"/>
  <c r="L198" i="3"/>
  <c r="M198" i="3" s="1"/>
  <c r="J197" i="3"/>
  <c r="K197" i="3" s="1"/>
  <c r="K194" i="3" s="1"/>
  <c r="M192" i="3"/>
  <c r="L192" i="3"/>
  <c r="M191" i="3"/>
  <c r="L191" i="3"/>
  <c r="M190" i="3"/>
  <c r="L190" i="3"/>
  <c r="L189" i="3"/>
  <c r="M189" i="3" s="1"/>
  <c r="M188" i="3"/>
  <c r="L193" i="3" s="1"/>
  <c r="L188" i="3"/>
  <c r="J187" i="3"/>
  <c r="J186" i="3"/>
  <c r="K187" i="3" s="1"/>
  <c r="K183" i="3" s="1"/>
  <c r="K182" i="3"/>
  <c r="K179" i="3" s="1"/>
  <c r="M179" i="3" s="1"/>
  <c r="J182" i="3"/>
  <c r="L179" i="3"/>
  <c r="L177" i="3"/>
  <c r="M177" i="3" s="1"/>
  <c r="L176" i="3"/>
  <c r="M176" i="3" s="1"/>
  <c r="L175" i="3"/>
  <c r="M175" i="3" s="1"/>
  <c r="M174" i="3"/>
  <c r="L174" i="3"/>
  <c r="L173" i="3"/>
  <c r="M173" i="3" s="1"/>
  <c r="L178" i="3" s="1"/>
  <c r="J172" i="3"/>
  <c r="J171" i="3"/>
  <c r="K172" i="3" s="1"/>
  <c r="K168" i="3" s="1"/>
  <c r="L166" i="3"/>
  <c r="M166" i="3" s="1"/>
  <c r="L165" i="3"/>
  <c r="M165" i="3" s="1"/>
  <c r="M164" i="3"/>
  <c r="L164" i="3"/>
  <c r="L163" i="3"/>
  <c r="M163" i="3" s="1"/>
  <c r="L162" i="3"/>
  <c r="M162" i="3" s="1"/>
  <c r="L161" i="3"/>
  <c r="M161" i="3" s="1"/>
  <c r="M160" i="3"/>
  <c r="L160" i="3"/>
  <c r="J159" i="3"/>
  <c r="K159" i="3" s="1"/>
  <c r="K155" i="3" s="1"/>
  <c r="J158" i="3"/>
  <c r="J151" i="3"/>
  <c r="K151" i="3" s="1"/>
  <c r="K148" i="3" s="1"/>
  <c r="M148" i="3" s="1"/>
  <c r="L148" i="3"/>
  <c r="K147" i="3"/>
  <c r="K144" i="3" s="1"/>
  <c r="M144" i="3" s="1"/>
  <c r="J147" i="3"/>
  <c r="L144" i="3"/>
  <c r="L142" i="3"/>
  <c r="M142" i="3" s="1"/>
  <c r="L141" i="3"/>
  <c r="M141" i="3" s="1"/>
  <c r="L140" i="3"/>
  <c r="M140" i="3" s="1"/>
  <c r="M139" i="3"/>
  <c r="L139" i="3"/>
  <c r="L138" i="3"/>
  <c r="M138" i="3" s="1"/>
  <c r="L137" i="3"/>
  <c r="M137" i="3" s="1"/>
  <c r="L136" i="3"/>
  <c r="M136" i="3" s="1"/>
  <c r="K135" i="3"/>
  <c r="K132" i="3" s="1"/>
  <c r="J135" i="3"/>
  <c r="M130" i="3"/>
  <c r="L130" i="3"/>
  <c r="L129" i="3"/>
  <c r="M129" i="3" s="1"/>
  <c r="M128" i="3"/>
  <c r="L128" i="3"/>
  <c r="M127" i="3"/>
  <c r="L127" i="3"/>
  <c r="M126" i="3"/>
  <c r="L131" i="3" s="1"/>
  <c r="L126" i="3"/>
  <c r="J125" i="3"/>
  <c r="J124" i="3"/>
  <c r="K125" i="3" s="1"/>
  <c r="K121" i="3" s="1"/>
  <c r="K120" i="3"/>
  <c r="J120" i="3"/>
  <c r="L117" i="3"/>
  <c r="K117" i="3"/>
  <c r="M117" i="3" s="1"/>
  <c r="L115" i="3"/>
  <c r="M115" i="3" s="1"/>
  <c r="M114" i="3"/>
  <c r="L114" i="3"/>
  <c r="L113" i="3"/>
  <c r="M113" i="3" s="1"/>
  <c r="L112" i="3"/>
  <c r="M112" i="3" s="1"/>
  <c r="L111" i="3"/>
  <c r="M111" i="3" s="1"/>
  <c r="M110" i="3"/>
  <c r="L110" i="3"/>
  <c r="L109" i="3"/>
  <c r="M109" i="3" s="1"/>
  <c r="J108" i="3"/>
  <c r="K108" i="3" s="1"/>
  <c r="K105" i="3" s="1"/>
  <c r="J104" i="3"/>
  <c r="J103" i="3"/>
  <c r="K104" i="3" s="1"/>
  <c r="K100" i="3" s="1"/>
  <c r="M100" i="3" s="1"/>
  <c r="L100" i="3"/>
  <c r="L98" i="3"/>
  <c r="M98" i="3" s="1"/>
  <c r="M97" i="3"/>
  <c r="L97" i="3"/>
  <c r="M96" i="3"/>
  <c r="L96" i="3"/>
  <c r="M95" i="3"/>
  <c r="L95" i="3"/>
  <c r="L94" i="3"/>
  <c r="M94" i="3" s="1"/>
  <c r="L99" i="3" s="1"/>
  <c r="K93" i="3"/>
  <c r="K89" i="3" s="1"/>
  <c r="J93" i="3"/>
  <c r="J92" i="3"/>
  <c r="M87" i="3"/>
  <c r="L87" i="3"/>
  <c r="M86" i="3"/>
  <c r="L86" i="3"/>
  <c r="M85" i="3"/>
  <c r="L85" i="3"/>
  <c r="L84" i="3"/>
  <c r="M84" i="3" s="1"/>
  <c r="M83" i="3"/>
  <c r="L83" i="3"/>
  <c r="M82" i="3"/>
  <c r="L82" i="3"/>
  <c r="M81" i="3"/>
  <c r="L81" i="3"/>
  <c r="L80" i="3"/>
  <c r="M80" i="3" s="1"/>
  <c r="L88" i="3" s="1"/>
  <c r="K79" i="3"/>
  <c r="K75" i="3" s="1"/>
  <c r="J79" i="3"/>
  <c r="J78" i="3"/>
  <c r="M73" i="3"/>
  <c r="L73" i="3"/>
  <c r="M72" i="3"/>
  <c r="L72" i="3"/>
  <c r="M71" i="3"/>
  <c r="L71" i="3"/>
  <c r="L70" i="3"/>
  <c r="M70" i="3" s="1"/>
  <c r="M69" i="3"/>
  <c r="L74" i="3" s="1"/>
  <c r="L69" i="3"/>
  <c r="J68" i="3"/>
  <c r="J67" i="3"/>
  <c r="K68" i="3" s="1"/>
  <c r="K64" i="3" s="1"/>
  <c r="M62" i="3"/>
  <c r="L62" i="3"/>
  <c r="M61" i="3"/>
  <c r="L61" i="3"/>
  <c r="L60" i="3"/>
  <c r="M60" i="3" s="1"/>
  <c r="M59" i="3"/>
  <c r="L59" i="3"/>
  <c r="M58" i="3"/>
  <c r="L58" i="3"/>
  <c r="J57" i="3"/>
  <c r="J56" i="3"/>
  <c r="J55" i="3"/>
  <c r="J54" i="3"/>
  <c r="K57" i="3" s="1"/>
  <c r="K51" i="3" s="1"/>
  <c r="L49" i="3"/>
  <c r="M49" i="3" s="1"/>
  <c r="M48" i="3"/>
  <c r="L48" i="3"/>
  <c r="M47" i="3"/>
  <c r="L47" i="3"/>
  <c r="M46" i="3"/>
  <c r="L46" i="3"/>
  <c r="L45" i="3"/>
  <c r="M45" i="3" s="1"/>
  <c r="L50" i="3" s="1"/>
  <c r="K44" i="3"/>
  <c r="K40" i="3" s="1"/>
  <c r="J44" i="3"/>
  <c r="J43" i="3"/>
  <c r="M38" i="3"/>
  <c r="L38" i="3"/>
  <c r="M37" i="3"/>
  <c r="L37" i="3"/>
  <c r="M36" i="3"/>
  <c r="L36" i="3"/>
  <c r="L35" i="3"/>
  <c r="M35" i="3" s="1"/>
  <c r="M34" i="3"/>
  <c r="L34" i="3"/>
  <c r="J33" i="3"/>
  <c r="J32" i="3"/>
  <c r="K33" i="3" s="1"/>
  <c r="K29" i="3" s="1"/>
  <c r="M27" i="3"/>
  <c r="L27" i="3"/>
  <c r="M26" i="3"/>
  <c r="L26" i="3"/>
  <c r="L25" i="3"/>
  <c r="M25" i="3" s="1"/>
  <c r="M24" i="3"/>
  <c r="L24" i="3"/>
  <c r="M23" i="3"/>
  <c r="L23" i="3"/>
  <c r="K22" i="3"/>
  <c r="J22" i="3"/>
  <c r="K19" i="3"/>
  <c r="J18" i="3"/>
  <c r="J17" i="3"/>
  <c r="K18" i="3" s="1"/>
  <c r="K14" i="3" s="1"/>
  <c r="M14" i="3" s="1"/>
  <c r="L14" i="3"/>
  <c r="J13" i="3"/>
  <c r="K13" i="3" s="1"/>
  <c r="K10" i="3" s="1"/>
  <c r="M10" i="3" s="1"/>
  <c r="L10" i="3"/>
  <c r="K9" i="3"/>
  <c r="J9" i="3"/>
  <c r="L6" i="3"/>
  <c r="K6" i="3"/>
  <c r="M6" i="3" s="1"/>
  <c r="M621" i="2"/>
  <c r="L621" i="2"/>
  <c r="M620" i="2"/>
  <c r="L620" i="2"/>
  <c r="M619" i="2"/>
  <c r="L619" i="2"/>
  <c r="L618" i="2"/>
  <c r="M618" i="2" s="1"/>
  <c r="L622" i="2" s="1"/>
  <c r="K617" i="2"/>
  <c r="K614" i="2" s="1"/>
  <c r="J617" i="2"/>
  <c r="L612" i="2"/>
  <c r="M612" i="2" s="1"/>
  <c r="M611" i="2"/>
  <c r="L611" i="2"/>
  <c r="L610" i="2"/>
  <c r="M610" i="2" s="1"/>
  <c r="M609" i="2"/>
  <c r="L609" i="2"/>
  <c r="L608" i="2"/>
  <c r="M608" i="2" s="1"/>
  <c r="L613" i="2" s="1"/>
  <c r="K607" i="2"/>
  <c r="K604" i="2" s="1"/>
  <c r="J607" i="2"/>
  <c r="M602" i="2"/>
  <c r="L602" i="2"/>
  <c r="M601" i="2"/>
  <c r="L601" i="2"/>
  <c r="M600" i="2"/>
  <c r="L600" i="2"/>
  <c r="L599" i="2"/>
  <c r="M599" i="2" s="1"/>
  <c r="L603" i="2" s="1"/>
  <c r="J598" i="2"/>
  <c r="K598" i="2" s="1"/>
  <c r="K595" i="2" s="1"/>
  <c r="L593" i="2"/>
  <c r="M593" i="2" s="1"/>
  <c r="M592" i="2"/>
  <c r="L592" i="2"/>
  <c r="L591" i="2"/>
  <c r="M591" i="2" s="1"/>
  <c r="M590" i="2"/>
  <c r="L594" i="2" s="1"/>
  <c r="L590" i="2"/>
  <c r="J589" i="2"/>
  <c r="K589" i="2" s="1"/>
  <c r="K586" i="2" s="1"/>
  <c r="L584" i="2"/>
  <c r="M584" i="2" s="1"/>
  <c r="L583" i="2"/>
  <c r="M583" i="2" s="1"/>
  <c r="L585" i="2" s="1"/>
  <c r="K581" i="2"/>
  <c r="L579" i="2"/>
  <c r="M579" i="2" s="1"/>
  <c r="M578" i="2"/>
  <c r="L578" i="2"/>
  <c r="K576" i="2"/>
  <c r="M573" i="2"/>
  <c r="L573" i="2"/>
  <c r="M572" i="2"/>
  <c r="L572" i="2"/>
  <c r="L571" i="2"/>
  <c r="M571" i="2" s="1"/>
  <c r="M570" i="2"/>
  <c r="L574" i="2" s="1"/>
  <c r="L570" i="2"/>
  <c r="K569" i="2"/>
  <c r="K566" i="2" s="1"/>
  <c r="J569" i="2"/>
  <c r="M564" i="2"/>
  <c r="L565" i="2" s="1"/>
  <c r="L564" i="2"/>
  <c r="L563" i="2"/>
  <c r="M563" i="2" s="1"/>
  <c r="M562" i="2"/>
  <c r="L562" i="2"/>
  <c r="L561" i="2"/>
  <c r="M561" i="2" s="1"/>
  <c r="K560" i="2"/>
  <c r="K557" i="2" s="1"/>
  <c r="J560" i="2"/>
  <c r="L555" i="2"/>
  <c r="K555" i="2"/>
  <c r="M555" i="2" s="1"/>
  <c r="L553" i="2"/>
  <c r="M553" i="2" s="1"/>
  <c r="L554" i="2" s="1"/>
  <c r="M554" i="2" s="1"/>
  <c r="M552" i="2"/>
  <c r="L552" i="2"/>
  <c r="L550" i="2"/>
  <c r="K550" i="2"/>
  <c r="M550" i="2" s="1"/>
  <c r="M548" i="2"/>
  <c r="L548" i="2"/>
  <c r="L547" i="2"/>
  <c r="M547" i="2" s="1"/>
  <c r="L549" i="2" s="1"/>
  <c r="M549" i="2" s="1"/>
  <c r="M545" i="2"/>
  <c r="L545" i="2"/>
  <c r="K545" i="2"/>
  <c r="M543" i="2"/>
  <c r="L543" i="2"/>
  <c r="L542" i="2"/>
  <c r="M542" i="2" s="1"/>
  <c r="L544" i="2" s="1"/>
  <c r="K540" i="2"/>
  <c r="L538" i="2"/>
  <c r="M538" i="2" s="1"/>
  <c r="L537" i="2"/>
  <c r="M537" i="2" s="1"/>
  <c r="L539" i="2" s="1"/>
  <c r="K535" i="2"/>
  <c r="L533" i="2"/>
  <c r="M533" i="2" s="1"/>
  <c r="M532" i="2"/>
  <c r="L534" i="2" s="1"/>
  <c r="L532" i="2"/>
  <c r="K530" i="2"/>
  <c r="M528" i="2"/>
  <c r="L528" i="2"/>
  <c r="M527" i="2"/>
  <c r="L527" i="2"/>
  <c r="K525" i="2"/>
  <c r="L524" i="2"/>
  <c r="M523" i="2"/>
  <c r="L523" i="2"/>
  <c r="L522" i="2"/>
  <c r="M522" i="2" s="1"/>
  <c r="K520" i="2"/>
  <c r="L519" i="2"/>
  <c r="L515" i="2" s="1"/>
  <c r="M518" i="2"/>
  <c r="L518" i="2"/>
  <c r="M517" i="2"/>
  <c r="L517" i="2"/>
  <c r="K515" i="2"/>
  <c r="L513" i="2"/>
  <c r="M513" i="2" s="1"/>
  <c r="L514" i="2" s="1"/>
  <c r="M514" i="2" s="1"/>
  <c r="M512" i="2"/>
  <c r="L512" i="2"/>
  <c r="L510" i="2"/>
  <c r="K510" i="2"/>
  <c r="M504" i="2"/>
  <c r="L504" i="2"/>
  <c r="M503" i="2"/>
  <c r="L503" i="2"/>
  <c r="M502" i="2"/>
  <c r="L502" i="2"/>
  <c r="M501" i="2"/>
  <c r="L501" i="2"/>
  <c r="M500" i="2"/>
  <c r="L500" i="2"/>
  <c r="M499" i="2"/>
  <c r="L499" i="2"/>
  <c r="M498" i="2"/>
  <c r="L498" i="2"/>
  <c r="M497" i="2"/>
  <c r="L497" i="2"/>
  <c r="M496" i="2"/>
  <c r="L496" i="2"/>
  <c r="K494" i="2"/>
  <c r="L492" i="2"/>
  <c r="M492" i="2" s="1"/>
  <c r="M491" i="2"/>
  <c r="L491" i="2"/>
  <c r="L490" i="2"/>
  <c r="M490" i="2" s="1"/>
  <c r="M489" i="2"/>
  <c r="L489" i="2"/>
  <c r="J488" i="2"/>
  <c r="K488" i="2" s="1"/>
  <c r="K485" i="2" s="1"/>
  <c r="J484" i="2"/>
  <c r="K484" i="2" s="1"/>
  <c r="K481" i="2" s="1"/>
  <c r="M481" i="2" s="1"/>
  <c r="L481" i="2"/>
  <c r="L479" i="2"/>
  <c r="M479" i="2" s="1"/>
  <c r="M478" i="2"/>
  <c r="L480" i="2" s="1"/>
  <c r="L478" i="2"/>
  <c r="J477" i="2"/>
  <c r="J476" i="2"/>
  <c r="K477" i="2" s="1"/>
  <c r="K473" i="2"/>
  <c r="M472" i="2"/>
  <c r="L471" i="2"/>
  <c r="M471" i="2" s="1"/>
  <c r="L472" i="2" s="1"/>
  <c r="L465" i="2" s="1"/>
  <c r="M470" i="2"/>
  <c r="L470" i="2"/>
  <c r="J469" i="2"/>
  <c r="J468" i="2"/>
  <c r="K469" i="2" s="1"/>
  <c r="K465" i="2" s="1"/>
  <c r="L461" i="2"/>
  <c r="M461" i="2" s="1"/>
  <c r="M460" i="2"/>
  <c r="L460" i="2"/>
  <c r="L459" i="2"/>
  <c r="M459" i="2" s="1"/>
  <c r="K457" i="2"/>
  <c r="M455" i="2"/>
  <c r="L455" i="2"/>
  <c r="K455" i="2"/>
  <c r="L454" i="2"/>
  <c r="M454" i="2" s="1"/>
  <c r="M453" i="2"/>
  <c r="L453" i="2"/>
  <c r="L452" i="2"/>
  <c r="M452" i="2" s="1"/>
  <c r="M451" i="2"/>
  <c r="L451" i="2"/>
  <c r="L449" i="2"/>
  <c r="K449" i="2"/>
  <c r="M449" i="2" s="1"/>
  <c r="M447" i="2"/>
  <c r="L447" i="2"/>
  <c r="M446" i="2"/>
  <c r="L446" i="2"/>
  <c r="L445" i="2"/>
  <c r="M445" i="2" s="1"/>
  <c r="M444" i="2"/>
  <c r="L444" i="2"/>
  <c r="K442" i="2"/>
  <c r="L440" i="2"/>
  <c r="K440" i="2"/>
  <c r="M440" i="2" s="1"/>
  <c r="M438" i="2"/>
  <c r="L438" i="2"/>
  <c r="M437" i="2"/>
  <c r="L437" i="2"/>
  <c r="M436" i="2"/>
  <c r="L436" i="2"/>
  <c r="M435" i="2"/>
  <c r="L435" i="2"/>
  <c r="K433" i="2"/>
  <c r="J432" i="2"/>
  <c r="K432" i="2" s="1"/>
  <c r="K429" i="2" s="1"/>
  <c r="M429" i="2"/>
  <c r="L429" i="2"/>
  <c r="M427" i="2"/>
  <c r="L427" i="2"/>
  <c r="L426" i="2"/>
  <c r="M426" i="2" s="1"/>
  <c r="M425" i="2"/>
  <c r="L425" i="2"/>
  <c r="M424" i="2"/>
  <c r="L424" i="2"/>
  <c r="M423" i="2"/>
  <c r="L423" i="2"/>
  <c r="L422" i="2"/>
  <c r="M422" i="2" s="1"/>
  <c r="M421" i="2"/>
  <c r="L421" i="2"/>
  <c r="K420" i="2"/>
  <c r="J420" i="2"/>
  <c r="K417" i="2"/>
  <c r="L415" i="2"/>
  <c r="M415" i="2" s="1"/>
  <c r="M414" i="2"/>
  <c r="L414" i="2"/>
  <c r="L413" i="2"/>
  <c r="M413" i="2" s="1"/>
  <c r="M412" i="2"/>
  <c r="L412" i="2"/>
  <c r="L411" i="2"/>
  <c r="M411" i="2" s="1"/>
  <c r="L416" i="2" s="1"/>
  <c r="M416" i="2" s="1"/>
  <c r="K410" i="2"/>
  <c r="J410" i="2"/>
  <c r="J409" i="2"/>
  <c r="K406" i="2"/>
  <c r="M404" i="2"/>
  <c r="L404" i="2"/>
  <c r="L403" i="2"/>
  <c r="M403" i="2" s="1"/>
  <c r="M402" i="2"/>
  <c r="L402" i="2"/>
  <c r="L401" i="2"/>
  <c r="M401" i="2" s="1"/>
  <c r="M400" i="2"/>
  <c r="L400" i="2"/>
  <c r="J399" i="2"/>
  <c r="J398" i="2"/>
  <c r="K399" i="2" s="1"/>
  <c r="K395" i="2" s="1"/>
  <c r="K394" i="2"/>
  <c r="J394" i="2"/>
  <c r="L391" i="2"/>
  <c r="K391" i="2"/>
  <c r="M389" i="2"/>
  <c r="L389" i="2"/>
  <c r="M388" i="2"/>
  <c r="L388" i="2"/>
  <c r="M387" i="2"/>
  <c r="L387" i="2"/>
  <c r="M386" i="2"/>
  <c r="L386" i="2"/>
  <c r="M385" i="2"/>
  <c r="L385" i="2"/>
  <c r="K384" i="2"/>
  <c r="J384" i="2"/>
  <c r="K381" i="2"/>
  <c r="M379" i="2"/>
  <c r="L379" i="2"/>
  <c r="L378" i="2"/>
  <c r="M378" i="2" s="1"/>
  <c r="M377" i="2"/>
  <c r="L377" i="2"/>
  <c r="L376" i="2"/>
  <c r="M376" i="2" s="1"/>
  <c r="M375" i="2"/>
  <c r="L375" i="2"/>
  <c r="L374" i="2"/>
  <c r="M374" i="2" s="1"/>
  <c r="M373" i="2"/>
  <c r="L373" i="2"/>
  <c r="J372" i="2"/>
  <c r="J371" i="2"/>
  <c r="K372" i="2" s="1"/>
  <c r="K368" i="2" s="1"/>
  <c r="L364" i="2"/>
  <c r="M364" i="2" s="1"/>
  <c r="M363" i="2"/>
  <c r="L363" i="2"/>
  <c r="L362" i="2"/>
  <c r="M362" i="2" s="1"/>
  <c r="L365" i="2" s="1"/>
  <c r="K360" i="2"/>
  <c r="M358" i="2"/>
  <c r="L358" i="2"/>
  <c r="K358" i="2"/>
  <c r="M356" i="2"/>
  <c r="L356" i="2"/>
  <c r="L355" i="2"/>
  <c r="M355" i="2" s="1"/>
  <c r="M354" i="2"/>
  <c r="L357" i="2" s="1"/>
  <c r="L354" i="2"/>
  <c r="K352" i="2"/>
  <c r="M350" i="2"/>
  <c r="L350" i="2"/>
  <c r="M349" i="2"/>
  <c r="L349" i="2"/>
  <c r="M348" i="2"/>
  <c r="L348" i="2"/>
  <c r="M347" i="2"/>
  <c r="L351" i="2" s="1"/>
  <c r="M351" i="2" s="1"/>
  <c r="L347" i="2"/>
  <c r="K345" i="2"/>
  <c r="L343" i="2"/>
  <c r="K343" i="2"/>
  <c r="M343" i="2" s="1"/>
  <c r="L341" i="2"/>
  <c r="M341" i="2" s="1"/>
  <c r="M340" i="2"/>
  <c r="L340" i="2"/>
  <c r="M339" i="2"/>
  <c r="L339" i="2"/>
  <c r="M338" i="2"/>
  <c r="L338" i="2"/>
  <c r="K336" i="2"/>
  <c r="M334" i="2"/>
  <c r="L334" i="2"/>
  <c r="L333" i="2"/>
  <c r="M333" i="2" s="1"/>
  <c r="M332" i="2"/>
  <c r="L332" i="2"/>
  <c r="L331" i="2"/>
  <c r="M331" i="2" s="1"/>
  <c r="L335" i="2" s="1"/>
  <c r="M330" i="2"/>
  <c r="L330" i="2"/>
  <c r="J329" i="2"/>
  <c r="K329" i="2" s="1"/>
  <c r="K326" i="2" s="1"/>
  <c r="M324" i="2"/>
  <c r="L324" i="2"/>
  <c r="L323" i="2"/>
  <c r="M323" i="2" s="1"/>
  <c r="M322" i="2"/>
  <c r="L322" i="2"/>
  <c r="M321" i="2"/>
  <c r="L321" i="2"/>
  <c r="M320" i="2"/>
  <c r="L320" i="2"/>
  <c r="J319" i="2"/>
  <c r="K319" i="2" s="1"/>
  <c r="K316" i="2" s="1"/>
  <c r="K315" i="2"/>
  <c r="J315" i="2"/>
  <c r="L312" i="2"/>
  <c r="K312" i="2"/>
  <c r="M310" i="2"/>
  <c r="L310" i="2"/>
  <c r="M309" i="2"/>
  <c r="L309" i="2"/>
  <c r="L308" i="2"/>
  <c r="M308" i="2" s="1"/>
  <c r="M307" i="2"/>
  <c r="L307" i="2"/>
  <c r="M306" i="2"/>
  <c r="L306" i="2"/>
  <c r="M305" i="2"/>
  <c r="L305" i="2"/>
  <c r="L304" i="2"/>
  <c r="M304" i="2" s="1"/>
  <c r="K303" i="2"/>
  <c r="K300" i="2" s="1"/>
  <c r="J303" i="2"/>
  <c r="M298" i="2"/>
  <c r="L298" i="2"/>
  <c r="L297" i="2"/>
  <c r="M297" i="2" s="1"/>
  <c r="L296" i="2"/>
  <c r="M296" i="2" s="1"/>
  <c r="L295" i="2"/>
  <c r="M295" i="2" s="1"/>
  <c r="M294" i="2"/>
  <c r="L299" i="2" s="1"/>
  <c r="L294" i="2"/>
  <c r="J293" i="2"/>
  <c r="J292" i="2"/>
  <c r="K293" i="2" s="1"/>
  <c r="K289" i="2"/>
  <c r="K288" i="2"/>
  <c r="K285" i="2" s="1"/>
  <c r="M285" i="2" s="1"/>
  <c r="J288" i="2"/>
  <c r="L285" i="2"/>
  <c r="M283" i="2"/>
  <c r="L283" i="2"/>
  <c r="M282" i="2"/>
  <c r="L282" i="2"/>
  <c r="M281" i="2"/>
  <c r="L281" i="2"/>
  <c r="M280" i="2"/>
  <c r="L280" i="2"/>
  <c r="M279" i="2"/>
  <c r="L284" i="2" s="1"/>
  <c r="L279" i="2"/>
  <c r="J278" i="2"/>
  <c r="J277" i="2"/>
  <c r="K278" i="2" s="1"/>
  <c r="K274" i="2" s="1"/>
  <c r="M272" i="2"/>
  <c r="L272" i="2"/>
  <c r="M271" i="2"/>
  <c r="L271" i="2"/>
  <c r="M270" i="2"/>
  <c r="L270" i="2"/>
  <c r="L269" i="2"/>
  <c r="M269" i="2" s="1"/>
  <c r="L273" i="2" s="1"/>
  <c r="M268" i="2"/>
  <c r="L268" i="2"/>
  <c r="M267" i="2"/>
  <c r="L267" i="2"/>
  <c r="M266" i="2"/>
  <c r="L266" i="2"/>
  <c r="J265" i="2"/>
  <c r="K265" i="2" s="1"/>
  <c r="K262" i="2" s="1"/>
  <c r="L260" i="2"/>
  <c r="M260" i="2" s="1"/>
  <c r="M259" i="2"/>
  <c r="L259" i="2"/>
  <c r="L258" i="2"/>
  <c r="M258" i="2" s="1"/>
  <c r="L257" i="2"/>
  <c r="M257" i="2" s="1"/>
  <c r="L256" i="2"/>
  <c r="M256" i="2" s="1"/>
  <c r="L255" i="2"/>
  <c r="M255" i="2" s="1"/>
  <c r="L254" i="2"/>
  <c r="M254" i="2" s="1"/>
  <c r="J253" i="2"/>
  <c r="K253" i="2" s="1"/>
  <c r="K250" i="2" s="1"/>
  <c r="L246" i="2"/>
  <c r="K246" i="2"/>
  <c r="M246" i="2" s="1"/>
  <c r="M245" i="2"/>
  <c r="L245" i="2"/>
  <c r="L244" i="2"/>
  <c r="M244" i="2" s="1"/>
  <c r="L243" i="2"/>
  <c r="M243" i="2" s="1"/>
  <c r="L242" i="2"/>
  <c r="M242" i="2" s="1"/>
  <c r="L240" i="2"/>
  <c r="M240" i="2" s="1"/>
  <c r="K240" i="2"/>
  <c r="M238" i="2"/>
  <c r="L238" i="2"/>
  <c r="M237" i="2"/>
  <c r="L237" i="2"/>
  <c r="M236" i="2"/>
  <c r="L236" i="2"/>
  <c r="K234" i="2"/>
  <c r="L232" i="2"/>
  <c r="M232" i="2" s="1"/>
  <c r="L231" i="2"/>
  <c r="M231" i="2" s="1"/>
  <c r="L230" i="2"/>
  <c r="M230" i="2" s="1"/>
  <c r="L229" i="2"/>
  <c r="M229" i="2" s="1"/>
  <c r="L233" i="2" s="1"/>
  <c r="K227" i="2"/>
  <c r="M225" i="2"/>
  <c r="L225" i="2"/>
  <c r="K225" i="2"/>
  <c r="L223" i="2"/>
  <c r="M223" i="2" s="1"/>
  <c r="L222" i="2"/>
  <c r="M222" i="2" s="1"/>
  <c r="L221" i="2"/>
  <c r="M221" i="2" s="1"/>
  <c r="L224" i="2" s="1"/>
  <c r="L220" i="2"/>
  <c r="M220" i="2" s="1"/>
  <c r="K218" i="2"/>
  <c r="M216" i="2"/>
  <c r="L216" i="2"/>
  <c r="M215" i="2"/>
  <c r="L215" i="2"/>
  <c r="M214" i="2"/>
  <c r="L214" i="2"/>
  <c r="M213" i="2"/>
  <c r="L213" i="2"/>
  <c r="M212" i="2"/>
  <c r="L217" i="2" s="1"/>
  <c r="L208" i="2" s="1"/>
  <c r="L212" i="2"/>
  <c r="K211" i="2"/>
  <c r="K208" i="2" s="1"/>
  <c r="M208" i="2" s="1"/>
  <c r="J211" i="2"/>
  <c r="L206" i="2"/>
  <c r="M206" i="2" s="1"/>
  <c r="L205" i="2"/>
  <c r="M205" i="2" s="1"/>
  <c r="L204" i="2"/>
  <c r="M204" i="2" s="1"/>
  <c r="L203" i="2"/>
  <c r="M203" i="2" s="1"/>
  <c r="L202" i="2"/>
  <c r="M202" i="2" s="1"/>
  <c r="K201" i="2"/>
  <c r="K198" i="2" s="1"/>
  <c r="J201" i="2"/>
  <c r="K197" i="2"/>
  <c r="J197" i="2"/>
  <c r="M194" i="2"/>
  <c r="L194" i="2"/>
  <c r="K194" i="2"/>
  <c r="L192" i="2"/>
  <c r="M192" i="2" s="1"/>
  <c r="L191" i="2"/>
  <c r="M191" i="2" s="1"/>
  <c r="L190" i="2"/>
  <c r="M190" i="2" s="1"/>
  <c r="L189" i="2"/>
  <c r="M189" i="2" s="1"/>
  <c r="L188" i="2"/>
  <c r="M188" i="2" s="1"/>
  <c r="L187" i="2"/>
  <c r="M187" i="2" s="1"/>
  <c r="M186" i="2"/>
  <c r="L193" i="2" s="1"/>
  <c r="L186" i="2"/>
  <c r="J185" i="2"/>
  <c r="K185" i="2" s="1"/>
  <c r="K182" i="2" s="1"/>
  <c r="M180" i="2"/>
  <c r="L180" i="2"/>
  <c r="M179" i="2"/>
  <c r="L179" i="2"/>
  <c r="M178" i="2"/>
  <c r="L178" i="2"/>
  <c r="L177" i="2"/>
  <c r="M177" i="2" s="1"/>
  <c r="M176" i="2"/>
  <c r="L181" i="2" s="1"/>
  <c r="L176" i="2"/>
  <c r="K175" i="2"/>
  <c r="J175" i="2"/>
  <c r="J174" i="2"/>
  <c r="K171" i="2"/>
  <c r="K170" i="2"/>
  <c r="K167" i="2" s="1"/>
  <c r="M167" i="2" s="1"/>
  <c r="J170" i="2"/>
  <c r="L167" i="2"/>
  <c r="L165" i="2"/>
  <c r="M165" i="2" s="1"/>
  <c r="L164" i="2"/>
  <c r="M164" i="2" s="1"/>
  <c r="L163" i="2"/>
  <c r="M163" i="2" s="1"/>
  <c r="L162" i="2"/>
  <c r="M162" i="2" s="1"/>
  <c r="M161" i="2"/>
  <c r="L166" i="2" s="1"/>
  <c r="L161" i="2"/>
  <c r="J160" i="2"/>
  <c r="J159" i="2"/>
  <c r="L154" i="2"/>
  <c r="M154" i="2" s="1"/>
  <c r="L153" i="2"/>
  <c r="M153" i="2" s="1"/>
  <c r="L152" i="2"/>
  <c r="M152" i="2" s="1"/>
  <c r="L151" i="2"/>
  <c r="M151" i="2" s="1"/>
  <c r="L150" i="2"/>
  <c r="M150" i="2" s="1"/>
  <c r="L149" i="2"/>
  <c r="M149" i="2" s="1"/>
  <c r="L148" i="2"/>
  <c r="M148" i="2" s="1"/>
  <c r="K147" i="2"/>
  <c r="K144" i="2" s="1"/>
  <c r="J147" i="2"/>
  <c r="L142" i="2"/>
  <c r="M142" i="2" s="1"/>
  <c r="M141" i="2"/>
  <c r="L141" i="2"/>
  <c r="M140" i="2"/>
  <c r="L140" i="2"/>
  <c r="M139" i="2"/>
  <c r="L139" i="2"/>
  <c r="L138" i="2"/>
  <c r="M138" i="2" s="1"/>
  <c r="M137" i="2"/>
  <c r="L137" i="2"/>
  <c r="M136" i="2"/>
  <c r="L136" i="2"/>
  <c r="K135" i="2"/>
  <c r="J135" i="2"/>
  <c r="K132" i="2"/>
  <c r="K128" i="2"/>
  <c r="K125" i="2" s="1"/>
  <c r="M125" i="2" s="1"/>
  <c r="J128" i="2"/>
  <c r="L125" i="2"/>
  <c r="K124" i="2"/>
  <c r="K121" i="2" s="1"/>
  <c r="M121" i="2" s="1"/>
  <c r="J124" i="2"/>
  <c r="L121" i="2"/>
  <c r="L119" i="2"/>
  <c r="M119" i="2" s="1"/>
  <c r="L118" i="2"/>
  <c r="M118" i="2" s="1"/>
  <c r="L117" i="2"/>
  <c r="M117" i="2" s="1"/>
  <c r="L116" i="2"/>
  <c r="M116" i="2" s="1"/>
  <c r="L115" i="2"/>
  <c r="M115" i="2" s="1"/>
  <c r="L114" i="2"/>
  <c r="M114" i="2" s="1"/>
  <c r="M113" i="2"/>
  <c r="L120" i="2" s="1"/>
  <c r="L113" i="2"/>
  <c r="J112" i="2"/>
  <c r="K112" i="2" s="1"/>
  <c r="K109" i="2" s="1"/>
  <c r="M107" i="2"/>
  <c r="L107" i="2"/>
  <c r="M106" i="2"/>
  <c r="L106" i="2"/>
  <c r="M105" i="2"/>
  <c r="L105" i="2"/>
  <c r="L104" i="2"/>
  <c r="M104" i="2" s="1"/>
  <c r="L108" i="2" s="1"/>
  <c r="M103" i="2"/>
  <c r="L103" i="2"/>
  <c r="K102" i="2"/>
  <c r="J102" i="2"/>
  <c r="K99" i="2"/>
  <c r="J98" i="2"/>
  <c r="K98" i="2" s="1"/>
  <c r="K95" i="2" s="1"/>
  <c r="M95" i="2" s="1"/>
  <c r="L95" i="2"/>
  <c r="M93" i="2"/>
  <c r="L93" i="2"/>
  <c r="M92" i="2"/>
  <c r="L92" i="2"/>
  <c r="M91" i="2"/>
  <c r="L91" i="2"/>
  <c r="M90" i="2"/>
  <c r="L90" i="2"/>
  <c r="M89" i="2"/>
  <c r="L89" i="2"/>
  <c r="M88" i="2"/>
  <c r="L88" i="2"/>
  <c r="L87" i="2"/>
  <c r="M87" i="2" s="1"/>
  <c r="L94" i="2" s="1"/>
  <c r="K86" i="2"/>
  <c r="K83" i="2" s="1"/>
  <c r="J86" i="2"/>
  <c r="J82" i="2"/>
  <c r="K82" i="2" s="1"/>
  <c r="K79" i="2" s="1"/>
  <c r="L79" i="2"/>
  <c r="M79" i="2" s="1"/>
  <c r="M77" i="2"/>
  <c r="L77" i="2"/>
  <c r="L76" i="2"/>
  <c r="M76" i="2" s="1"/>
  <c r="M75" i="2"/>
  <c r="L75" i="2"/>
  <c r="M74" i="2"/>
  <c r="L74" i="2"/>
  <c r="M73" i="2"/>
  <c r="L78" i="2" s="1"/>
  <c r="L73" i="2"/>
  <c r="J72" i="2"/>
  <c r="K72" i="2" s="1"/>
  <c r="K69" i="2" s="1"/>
  <c r="L67" i="2"/>
  <c r="M67" i="2" s="1"/>
  <c r="L66" i="2"/>
  <c r="M66" i="2" s="1"/>
  <c r="L65" i="2"/>
  <c r="M65" i="2" s="1"/>
  <c r="L64" i="2"/>
  <c r="M64" i="2" s="1"/>
  <c r="L63" i="2"/>
  <c r="M63" i="2" s="1"/>
  <c r="L62" i="2"/>
  <c r="M62" i="2" s="1"/>
  <c r="L61" i="2"/>
  <c r="M61" i="2" s="1"/>
  <c r="L60" i="2"/>
  <c r="M60" i="2" s="1"/>
  <c r="J59" i="2"/>
  <c r="K59" i="2" s="1"/>
  <c r="K56" i="2" s="1"/>
  <c r="M54" i="2"/>
  <c r="L54" i="2"/>
  <c r="L53" i="2"/>
  <c r="M53" i="2" s="1"/>
  <c r="M52" i="2"/>
  <c r="L52" i="2"/>
  <c r="L51" i="2"/>
  <c r="M51" i="2" s="1"/>
  <c r="M50" i="2"/>
  <c r="L50" i="2"/>
  <c r="J49" i="2"/>
  <c r="K49" i="2" s="1"/>
  <c r="K46" i="2" s="1"/>
  <c r="L44" i="2"/>
  <c r="M44" i="2" s="1"/>
  <c r="L43" i="2"/>
  <c r="M43" i="2" s="1"/>
  <c r="L42" i="2"/>
  <c r="M42" i="2" s="1"/>
  <c r="M41" i="2"/>
  <c r="L45" i="2" s="1"/>
  <c r="L41" i="2"/>
  <c r="L40" i="2"/>
  <c r="M40" i="2" s="1"/>
  <c r="K39" i="2"/>
  <c r="J39" i="2"/>
  <c r="J38" i="2"/>
  <c r="K35" i="2"/>
  <c r="L33" i="2"/>
  <c r="M33" i="2" s="1"/>
  <c r="L32" i="2"/>
  <c r="M32" i="2" s="1"/>
  <c r="L31" i="2"/>
  <c r="M31" i="2" s="1"/>
  <c r="L30" i="2"/>
  <c r="M30" i="2" s="1"/>
  <c r="M29" i="2"/>
  <c r="L29" i="2"/>
  <c r="J28" i="2"/>
  <c r="K28" i="2" s="1"/>
  <c r="K25" i="2" s="1"/>
  <c r="L23" i="2"/>
  <c r="M23" i="2" s="1"/>
  <c r="M22" i="2"/>
  <c r="L22" i="2"/>
  <c r="M21" i="2"/>
  <c r="L21" i="2"/>
  <c r="L20" i="2"/>
  <c r="M20" i="2" s="1"/>
  <c r="L19" i="2"/>
  <c r="M19" i="2" s="1"/>
  <c r="K18" i="2"/>
  <c r="K15" i="2" s="1"/>
  <c r="J18" i="2"/>
  <c r="J14" i="2"/>
  <c r="J13" i="2"/>
  <c r="K14" i="2" s="1"/>
  <c r="K10" i="2" s="1"/>
  <c r="M10" i="2" s="1"/>
  <c r="L10" i="2"/>
  <c r="K9" i="2"/>
  <c r="J9" i="2"/>
  <c r="L6" i="2"/>
  <c r="K6" i="2"/>
  <c r="M6" i="2" s="1"/>
  <c r="H14" i="1"/>
  <c r="H15" i="1"/>
  <c r="H16" i="1"/>
  <c r="H17" i="1"/>
  <c r="H18" i="1"/>
  <c r="H25" i="1"/>
  <c r="H26" i="1"/>
  <c r="H27" i="1"/>
  <c r="H28" i="1"/>
  <c r="H29" i="1"/>
  <c r="H30" i="1"/>
  <c r="H31" i="1"/>
  <c r="H32" i="1"/>
  <c r="H33" i="1"/>
  <c r="H34" i="1"/>
  <c r="H35" i="1"/>
  <c r="H36" i="1"/>
  <c r="H37" i="1"/>
  <c r="H44" i="1"/>
  <c r="H45" i="1"/>
  <c r="H46" i="1"/>
  <c r="H47" i="1"/>
  <c r="H48" i="1"/>
  <c r="H49" i="1"/>
  <c r="H50" i="1"/>
  <c r="H51" i="1"/>
  <c r="H52" i="1"/>
  <c r="H53" i="1"/>
  <c r="H54" i="1"/>
  <c r="H55" i="1"/>
  <c r="H56"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7" i="1"/>
  <c r="H98" i="1"/>
  <c r="H99" i="1"/>
  <c r="H106" i="1"/>
  <c r="H107" i="1"/>
  <c r="H108" i="1"/>
  <c r="H109" i="1"/>
  <c r="H110" i="1"/>
  <c r="H117" i="1"/>
  <c r="H118" i="1"/>
  <c r="H119" i="1"/>
  <c r="H120" i="1"/>
  <c r="H121" i="1"/>
  <c r="H122" i="1"/>
  <c r="H123" i="1"/>
  <c r="H124" i="1"/>
  <c r="H131" i="1"/>
  <c r="H132" i="1"/>
  <c r="H133" i="1"/>
  <c r="H134" i="1"/>
  <c r="H135" i="1"/>
  <c r="H136" i="1"/>
  <c r="H143" i="1"/>
  <c r="H144" i="1"/>
  <c r="H145" i="1"/>
  <c r="H146" i="1"/>
  <c r="H147" i="1"/>
  <c r="H148" i="1"/>
  <c r="H149" i="1"/>
  <c r="H150" i="1"/>
  <c r="H151" i="1"/>
  <c r="H152" i="1"/>
  <c r="H153" i="1"/>
  <c r="H159" i="1"/>
  <c r="H161" i="1" s="1"/>
  <c r="H160" i="1"/>
  <c r="H166" i="1"/>
  <c r="H167" i="1" s="1"/>
  <c r="H172" i="1"/>
  <c r="H173" i="1" s="1"/>
  <c r="H181" i="1"/>
  <c r="H182" i="1"/>
  <c r="H183" i="1"/>
  <c r="H184" i="1"/>
  <c r="H185" i="1"/>
  <c r="H186" i="1"/>
  <c r="H187" i="1"/>
  <c r="H188" i="1"/>
  <c r="H189" i="1"/>
  <c r="H190" i="1"/>
  <c r="H191" i="1"/>
  <c r="H198" i="1"/>
  <c r="H199" i="1"/>
  <c r="H200" i="1"/>
  <c r="H201" i="1"/>
  <c r="H202" i="1"/>
  <c r="H203" i="1"/>
  <c r="H204" i="1"/>
  <c r="H205" i="1"/>
  <c r="H206" i="1"/>
  <c r="H207" i="1"/>
  <c r="H208" i="1"/>
  <c r="H215" i="1"/>
  <c r="H216" i="1"/>
  <c r="H217" i="1"/>
  <c r="H218" i="1"/>
  <c r="H219" i="1"/>
  <c r="H220" i="1"/>
  <c r="H221" i="1"/>
  <c r="H222" i="1"/>
  <c r="H223" i="1"/>
  <c r="H224" i="1"/>
  <c r="H225" i="1"/>
  <c r="H226" i="1"/>
  <c r="H227" i="1"/>
  <c r="H228" i="1"/>
  <c r="H229" i="1"/>
  <c r="H230" i="1"/>
  <c r="H231" i="1"/>
  <c r="H232" i="1"/>
  <c r="H233" i="1"/>
  <c r="H234" i="1"/>
  <c r="H241" i="1"/>
  <c r="H242" i="1"/>
  <c r="H243" i="1"/>
  <c r="H244" i="1"/>
  <c r="H251" i="1"/>
  <c r="H252" i="1"/>
  <c r="H253" i="1"/>
  <c r="H254" i="1"/>
  <c r="H255" i="1"/>
  <c r="H256" i="1"/>
  <c r="H257" i="1"/>
  <c r="H258" i="1"/>
  <c r="H259" i="1"/>
  <c r="H260" i="1"/>
  <c r="H261" i="1"/>
  <c r="H262" i="1"/>
  <c r="H263" i="1"/>
  <c r="H264" i="1"/>
  <c r="H265" i="1"/>
  <c r="H266" i="1"/>
  <c r="H274" i="1"/>
  <c r="H275" i="1"/>
  <c r="H276" i="1"/>
  <c r="H277" i="1"/>
  <c r="H278" i="1"/>
  <c r="H286" i="1"/>
  <c r="H287" i="1"/>
  <c r="H288" i="1"/>
  <c r="H289" i="1"/>
  <c r="H297" i="1"/>
  <c r="H298" i="1"/>
  <c r="H299" i="1"/>
  <c r="H300" i="1"/>
  <c r="H301" i="1"/>
  <c r="H302" i="1"/>
  <c r="H310" i="1"/>
  <c r="H311" i="1"/>
  <c r="H312" i="1"/>
  <c r="H313" i="1"/>
  <c r="H314" i="1"/>
  <c r="H315" i="1"/>
  <c r="H316" i="1"/>
  <c r="H317" i="1"/>
  <c r="H318" i="1"/>
  <c r="H319" i="1"/>
  <c r="H320" i="1"/>
  <c r="H327" i="1"/>
  <c r="H328" i="1"/>
  <c r="H329" i="1"/>
  <c r="H330" i="1"/>
  <c r="H331" i="1"/>
  <c r="H332" i="1"/>
  <c r="H333" i="1"/>
  <c r="H334" i="1"/>
  <c r="H341" i="1"/>
  <c r="H342" i="1"/>
  <c r="H343" i="1"/>
  <c r="H344" i="1"/>
  <c r="H345" i="1"/>
  <c r="H346" i="1"/>
  <c r="H347" i="1"/>
  <c r="H348" i="1"/>
  <c r="H355" i="1"/>
  <c r="H356" i="1"/>
  <c r="H357" i="1"/>
  <c r="H358" i="1"/>
  <c r="H359" i="1"/>
  <c r="H360" i="1"/>
  <c r="H361" i="1"/>
  <c r="H362" i="1"/>
  <c r="H363" i="1"/>
  <c r="H364" i="1"/>
  <c r="H365" i="1"/>
  <c r="H372" i="1"/>
  <c r="H373" i="1"/>
  <c r="H374" i="1"/>
  <c r="H375" i="1"/>
  <c r="H376" i="1"/>
  <c r="H382" i="1"/>
  <c r="H383" i="1"/>
  <c r="H384" i="1"/>
  <c r="H385" i="1"/>
  <c r="H386" i="1"/>
  <c r="H387" i="1"/>
  <c r="H388" i="1"/>
  <c r="H394" i="1"/>
  <c r="H395" i="1"/>
  <c r="H401" i="1"/>
  <c r="H402" i="1" s="1"/>
  <c r="H407" i="1"/>
  <c r="H408" i="1" s="1"/>
  <c r="B22" i="4" l="1"/>
  <c r="B23" i="4" s="1"/>
  <c r="L102" i="5"/>
  <c r="M102" i="5" s="1"/>
  <c r="M120" i="5"/>
  <c r="L212" i="5"/>
  <c r="M212" i="5" s="1"/>
  <c r="M223" i="5"/>
  <c r="M275" i="5"/>
  <c r="L264" i="5"/>
  <c r="M329" i="5"/>
  <c r="L533" i="5"/>
  <c r="M533" i="5" s="1"/>
  <c r="M541" i="5"/>
  <c r="M549" i="5"/>
  <c r="L542" i="5"/>
  <c r="M542" i="5" s="1"/>
  <c r="L234" i="5"/>
  <c r="M234" i="5" s="1"/>
  <c r="M241" i="5"/>
  <c r="M296" i="5"/>
  <c r="L286" i="5"/>
  <c r="L329" i="5"/>
  <c r="M340" i="5"/>
  <c r="M413" i="5"/>
  <c r="L403" i="5"/>
  <c r="L321" i="5"/>
  <c r="M321" i="5" s="1"/>
  <c r="M326" i="5"/>
  <c r="L242" i="5"/>
  <c r="M249" i="5"/>
  <c r="L558" i="5"/>
  <c r="M558" i="5" s="1"/>
  <c r="M569" i="5"/>
  <c r="M125" i="5"/>
  <c r="L121" i="5"/>
  <c r="M555" i="5"/>
  <c r="L550" i="5"/>
  <c r="M550" i="5" s="1"/>
  <c r="M29" i="5"/>
  <c r="L20" i="5"/>
  <c r="L82" i="5"/>
  <c r="M403" i="5"/>
  <c r="L469" i="5"/>
  <c r="L495" i="5"/>
  <c r="L197" i="5"/>
  <c r="L233" i="5"/>
  <c r="L402" i="5"/>
  <c r="L517" i="5"/>
  <c r="L527" i="5"/>
  <c r="L173" i="5"/>
  <c r="M182" i="5"/>
  <c r="M167" i="5"/>
  <c r="L157" i="5"/>
  <c r="M157" i="5" s="1"/>
  <c r="L261" i="5"/>
  <c r="L47" i="5"/>
  <c r="K177" i="5"/>
  <c r="K173" i="5" s="1"/>
  <c r="M173" i="5" s="1"/>
  <c r="M242" i="5"/>
  <c r="L428" i="5"/>
  <c r="L457" i="5"/>
  <c r="M20" i="5"/>
  <c r="L352" i="5"/>
  <c r="L470" i="5"/>
  <c r="M470" i="5" s="1"/>
  <c r="M479" i="5"/>
  <c r="M381" i="5"/>
  <c r="L487" i="5"/>
  <c r="L19" i="5"/>
  <c r="L59" i="5"/>
  <c r="L101" i="5"/>
  <c r="L147" i="5"/>
  <c r="M147" i="5" s="1"/>
  <c r="M156" i="5"/>
  <c r="L183" i="5"/>
  <c r="M183" i="5" s="1"/>
  <c r="M191" i="5"/>
  <c r="L285" i="5"/>
  <c r="L362" i="5"/>
  <c r="M392" i="5"/>
  <c r="L381" i="5"/>
  <c r="L437" i="5"/>
  <c r="L572" i="5"/>
  <c r="M572" i="5" s="1"/>
  <c r="M575" i="5"/>
  <c r="M121" i="5"/>
  <c r="L211" i="5"/>
  <c r="L312" i="5"/>
  <c r="M312" i="5" s="1"/>
  <c r="M320" i="5"/>
  <c r="L143" i="5"/>
  <c r="M264" i="5"/>
  <c r="M286" i="5"/>
  <c r="L370" i="5"/>
  <c r="L509" i="5"/>
  <c r="H154" i="1"/>
  <c r="H366" i="1"/>
  <c r="H303" i="1"/>
  <c r="H235" i="1"/>
  <c r="H192" i="1"/>
  <c r="H377" i="1"/>
  <c r="H279" i="1"/>
  <c r="H267" i="1"/>
  <c r="H19" i="1"/>
  <c r="H389" i="1"/>
  <c r="H209" i="1"/>
  <c r="H290" i="1"/>
  <c r="H245" i="1"/>
  <c r="H38" i="1"/>
  <c r="H111" i="1"/>
  <c r="H321" i="1"/>
  <c r="H125" i="1"/>
  <c r="H91" i="1"/>
  <c r="H57" i="1"/>
  <c r="H396" i="1"/>
  <c r="H349" i="1"/>
  <c r="H335" i="1"/>
  <c r="H137" i="1"/>
  <c r="H100" i="1"/>
  <c r="M99" i="3"/>
  <c r="L89" i="3"/>
  <c r="M178" i="3"/>
  <c r="L168" i="3"/>
  <c r="M168" i="3" s="1"/>
  <c r="L312" i="3"/>
  <c r="L317" i="3"/>
  <c r="M317" i="3" s="1"/>
  <c r="M326" i="3"/>
  <c r="M348" i="3"/>
  <c r="L343" i="3"/>
  <c r="L403" i="3"/>
  <c r="M406" i="3"/>
  <c r="L456" i="3"/>
  <c r="M460" i="3"/>
  <c r="L466" i="3"/>
  <c r="M466" i="3" s="1"/>
  <c r="M470" i="3"/>
  <c r="L496" i="3"/>
  <c r="M500" i="3"/>
  <c r="L506" i="3"/>
  <c r="M506" i="3" s="1"/>
  <c r="M514" i="3"/>
  <c r="M523" i="3"/>
  <c r="L515" i="3"/>
  <c r="L39" i="3"/>
  <c r="L63" i="3"/>
  <c r="M64" i="3"/>
  <c r="M121" i="3"/>
  <c r="L333" i="3"/>
  <c r="L342" i="3"/>
  <c r="L381" i="3"/>
  <c r="M450" i="3"/>
  <c r="L446" i="3"/>
  <c r="M446" i="3" s="1"/>
  <c r="M490" i="3"/>
  <c r="L486" i="3"/>
  <c r="M486" i="3" s="1"/>
  <c r="L257" i="3"/>
  <c r="L274" i="3"/>
  <c r="L441" i="3"/>
  <c r="M441" i="3" s="1"/>
  <c r="M445" i="3"/>
  <c r="L481" i="3"/>
  <c r="M481" i="3" s="1"/>
  <c r="M485" i="3"/>
  <c r="L536" i="3"/>
  <c r="M50" i="3"/>
  <c r="L40" i="3"/>
  <c r="M40" i="3" s="1"/>
  <c r="M74" i="3"/>
  <c r="L64" i="3"/>
  <c r="L116" i="3"/>
  <c r="M131" i="3"/>
  <c r="L121" i="3"/>
  <c r="M193" i="3"/>
  <c r="L183" i="3"/>
  <c r="M183" i="3" s="1"/>
  <c r="L220" i="3"/>
  <c r="M220" i="3" s="1"/>
  <c r="M229" i="3"/>
  <c r="M251" i="3"/>
  <c r="L246" i="3"/>
  <c r="L397" i="3"/>
  <c r="L423" i="3"/>
  <c r="M423" i="3" s="1"/>
  <c r="L427" i="3" s="1"/>
  <c r="M425" i="3"/>
  <c r="M455" i="3"/>
  <c r="L451" i="3"/>
  <c r="L461" i="3"/>
  <c r="M461" i="3" s="1"/>
  <c r="M465" i="3"/>
  <c r="L471" i="3"/>
  <c r="M475" i="3"/>
  <c r="M495" i="3"/>
  <c r="L491" i="3"/>
  <c r="L501" i="3"/>
  <c r="M501" i="3" s="1"/>
  <c r="M505" i="3"/>
  <c r="L537" i="3"/>
  <c r="M537" i="3" s="1"/>
  <c r="M545" i="3"/>
  <c r="L275" i="3"/>
  <c r="M275" i="3" s="1"/>
  <c r="M285" i="3"/>
  <c r="M491" i="3"/>
  <c r="L205" i="3"/>
  <c r="L219" i="3"/>
  <c r="M414" i="3"/>
  <c r="L411" i="3"/>
  <c r="M411" i="3" s="1"/>
  <c r="L432" i="3"/>
  <c r="M432" i="3" s="1"/>
  <c r="M435" i="3"/>
  <c r="L407" i="3"/>
  <c r="M407" i="3" s="1"/>
  <c r="M410" i="3"/>
  <c r="M451" i="3"/>
  <c r="M471" i="3"/>
  <c r="L28" i="3"/>
  <c r="M75" i="3"/>
  <c r="L143" i="3"/>
  <c r="L236" i="3"/>
  <c r="L245" i="3"/>
  <c r="L300" i="3"/>
  <c r="M343" i="3"/>
  <c r="L354" i="3"/>
  <c r="M403" i="3"/>
  <c r="M415" i="3"/>
  <c r="M476" i="3"/>
  <c r="M515" i="3"/>
  <c r="M246" i="3"/>
  <c r="L75" i="3"/>
  <c r="M88" i="3"/>
  <c r="M89" i="3"/>
  <c r="L167" i="3"/>
  <c r="L365" i="3"/>
  <c r="M372" i="3"/>
  <c r="L366" i="3"/>
  <c r="M366" i="3" s="1"/>
  <c r="M418" i="3"/>
  <c r="L415" i="3"/>
  <c r="L436" i="3"/>
  <c r="M436" i="3" s="1"/>
  <c r="M440" i="3"/>
  <c r="M456" i="3"/>
  <c r="L476" i="3"/>
  <c r="M480" i="3"/>
  <c r="M496" i="3"/>
  <c r="L69" i="2"/>
  <c r="M78" i="2"/>
  <c r="L99" i="2"/>
  <c r="M108" i="2"/>
  <c r="M193" i="2"/>
  <c r="L182" i="2"/>
  <c r="M182" i="2" s="1"/>
  <c r="M233" i="2"/>
  <c r="L227" i="2"/>
  <c r="M227" i="2" s="1"/>
  <c r="M120" i="2"/>
  <c r="L109" i="2"/>
  <c r="M166" i="2"/>
  <c r="L156" i="2"/>
  <c r="M224" i="2"/>
  <c r="L218" i="2"/>
  <c r="M218" i="2" s="1"/>
  <c r="L566" i="2"/>
  <c r="M574" i="2"/>
  <c r="M83" i="2"/>
  <c r="M99" i="2"/>
  <c r="M45" i="2"/>
  <c r="L35" i="2"/>
  <c r="M35" i="2" s="1"/>
  <c r="L24" i="2"/>
  <c r="M94" i="2"/>
  <c r="L83" i="2"/>
  <c r="L262" i="2"/>
  <c r="M262" i="2" s="1"/>
  <c r="M273" i="2"/>
  <c r="L535" i="2"/>
  <c r="M535" i="2" s="1"/>
  <c r="M539" i="2"/>
  <c r="L34" i="2"/>
  <c r="L581" i="2"/>
  <c r="M581" i="2" s="1"/>
  <c r="M585" i="2"/>
  <c r="L68" i="2"/>
  <c r="M69" i="2"/>
  <c r="M181" i="2"/>
  <c r="L171" i="2"/>
  <c r="M299" i="2"/>
  <c r="L289" i="2"/>
  <c r="M289" i="2" s="1"/>
  <c r="L311" i="2"/>
  <c r="L557" i="2"/>
  <c r="M557" i="2" s="1"/>
  <c r="M565" i="2"/>
  <c r="L55" i="2"/>
  <c r="L155" i="2"/>
  <c r="L530" i="2"/>
  <c r="M530" i="2" s="1"/>
  <c r="M534" i="2"/>
  <c r="M614" i="2"/>
  <c r="M217" i="2"/>
  <c r="L326" i="2"/>
  <c r="M326" i="2" s="1"/>
  <c r="M335" i="2"/>
  <c r="M357" i="2"/>
  <c r="L352" i="2"/>
  <c r="M109" i="2"/>
  <c r="L239" i="2"/>
  <c r="L380" i="2"/>
  <c r="L390" i="2"/>
  <c r="L406" i="2"/>
  <c r="M406" i="2" s="1"/>
  <c r="M465" i="2"/>
  <c r="M519" i="2"/>
  <c r="L529" i="2"/>
  <c r="M566" i="2"/>
  <c r="M365" i="2"/>
  <c r="L360" i="2"/>
  <c r="M360" i="2" s="1"/>
  <c r="K160" i="2"/>
  <c r="K156" i="2" s="1"/>
  <c r="M156" i="2" s="1"/>
  <c r="M274" i="2"/>
  <c r="L342" i="2"/>
  <c r="M391" i="2"/>
  <c r="L405" i="2"/>
  <c r="L428" i="2"/>
  <c r="L493" i="2"/>
  <c r="L505" i="2"/>
  <c r="L520" i="2"/>
  <c r="M520" i="2" s="1"/>
  <c r="M524" i="2"/>
  <c r="L586" i="2"/>
  <c r="M586" i="2" s="1"/>
  <c r="M594" i="2"/>
  <c r="L614" i="2"/>
  <c r="M622" i="2"/>
  <c r="L462" i="2"/>
  <c r="M480" i="2"/>
  <c r="L473" i="2"/>
  <c r="M473" i="2" s="1"/>
  <c r="M515" i="2"/>
  <c r="L261" i="2"/>
  <c r="M352" i="2"/>
  <c r="L604" i="2"/>
  <c r="M604" i="2" s="1"/>
  <c r="M613" i="2"/>
  <c r="M171" i="2"/>
  <c r="L207" i="2"/>
  <c r="M312" i="2"/>
  <c r="L345" i="2"/>
  <c r="M345" i="2" s="1"/>
  <c r="L439" i="2"/>
  <c r="L540" i="2"/>
  <c r="M540" i="2" s="1"/>
  <c r="M544" i="2"/>
  <c r="L448" i="2"/>
  <c r="L143" i="2"/>
  <c r="M284" i="2"/>
  <c r="L274" i="2"/>
  <c r="L325" i="2"/>
  <c r="M510" i="2"/>
  <c r="L580" i="2"/>
  <c r="L595" i="2"/>
  <c r="M595" i="2" s="1"/>
  <c r="M603" i="2"/>
  <c r="B24" i="4" l="1"/>
  <c r="M370" i="5"/>
  <c r="L363" i="5"/>
  <c r="M363" i="5" s="1"/>
  <c r="M211" i="5"/>
  <c r="L200" i="5"/>
  <c r="M200" i="5" s="1"/>
  <c r="M362" i="5"/>
  <c r="L353" i="5"/>
  <c r="M353" i="5" s="1"/>
  <c r="L498" i="5"/>
  <c r="M498" i="5" s="1"/>
  <c r="L570" i="5" s="1"/>
  <c r="M509" i="5"/>
  <c r="M285" i="5"/>
  <c r="L276" i="5"/>
  <c r="M276" i="5" s="1"/>
  <c r="L224" i="5"/>
  <c r="M224" i="5" s="1"/>
  <c r="M233" i="5"/>
  <c r="L379" i="5"/>
  <c r="M101" i="5"/>
  <c r="L83" i="5"/>
  <c r="M83" i="5" s="1"/>
  <c r="M82" i="5"/>
  <c r="L68" i="5"/>
  <c r="M68" i="5" s="1"/>
  <c r="M59" i="5"/>
  <c r="L48" i="5"/>
  <c r="M48" i="5" s="1"/>
  <c r="L518" i="5"/>
  <c r="M518" i="5" s="1"/>
  <c r="M527" i="5"/>
  <c r="M197" i="5"/>
  <c r="L192" i="5"/>
  <c r="M192" i="5" s="1"/>
  <c r="L262" i="5" s="1"/>
  <c r="M428" i="5"/>
  <c r="L419" i="5"/>
  <c r="M419" i="5" s="1"/>
  <c r="M143" i="5"/>
  <c r="L126" i="5"/>
  <c r="M126" i="5" s="1"/>
  <c r="M19" i="5"/>
  <c r="L10" i="5"/>
  <c r="M10" i="5" s="1"/>
  <c r="L144" i="5" s="1"/>
  <c r="M352" i="5"/>
  <c r="L341" i="5"/>
  <c r="M341" i="5" s="1"/>
  <c r="M47" i="5"/>
  <c r="L35" i="5"/>
  <c r="M35" i="5" s="1"/>
  <c r="L510" i="5"/>
  <c r="M510" i="5" s="1"/>
  <c r="M517" i="5"/>
  <c r="M437" i="5"/>
  <c r="L429" i="5"/>
  <c r="M429" i="5" s="1"/>
  <c r="L496" i="5" s="1"/>
  <c r="M487" i="5"/>
  <c r="L480" i="5"/>
  <c r="M480" i="5" s="1"/>
  <c r="M261" i="5"/>
  <c r="L250" i="5"/>
  <c r="M250" i="5" s="1"/>
  <c r="L488" i="5"/>
  <c r="M488" i="5" s="1"/>
  <c r="M495" i="5"/>
  <c r="L446" i="5"/>
  <c r="M446" i="5" s="1"/>
  <c r="M457" i="5"/>
  <c r="M402" i="5"/>
  <c r="L393" i="5"/>
  <c r="M393" i="5" s="1"/>
  <c r="M469" i="5"/>
  <c r="L458" i="5"/>
  <c r="M458" i="5" s="1"/>
  <c r="H175" i="1"/>
  <c r="H412" i="1"/>
  <c r="L239" i="3"/>
  <c r="M239" i="3" s="1"/>
  <c r="M245" i="3"/>
  <c r="M365" i="3"/>
  <c r="L359" i="3"/>
  <c r="M359" i="3" s="1"/>
  <c r="L230" i="3"/>
  <c r="M230" i="3" s="1"/>
  <c r="M236" i="3"/>
  <c r="M274" i="3"/>
  <c r="L262" i="3"/>
  <c r="M262" i="3" s="1"/>
  <c r="L357" i="3" s="1"/>
  <c r="M312" i="3"/>
  <c r="L301" i="3"/>
  <c r="M301" i="3" s="1"/>
  <c r="L155" i="3"/>
  <c r="M155" i="3" s="1"/>
  <c r="M167" i="3"/>
  <c r="L210" i="3"/>
  <c r="M210" i="3" s="1"/>
  <c r="M219" i="3"/>
  <c r="L252" i="3"/>
  <c r="M252" i="3" s="1"/>
  <c r="M257" i="3"/>
  <c r="L51" i="3"/>
  <c r="M51" i="3" s="1"/>
  <c r="M63" i="3"/>
  <c r="M300" i="3"/>
  <c r="L290" i="3"/>
  <c r="M290" i="3" s="1"/>
  <c r="L132" i="3"/>
  <c r="M132" i="3" s="1"/>
  <c r="M143" i="3"/>
  <c r="M205" i="3"/>
  <c r="L194" i="3"/>
  <c r="M194" i="3" s="1"/>
  <c r="L373" i="3"/>
  <c r="M373" i="3" s="1"/>
  <c r="M381" i="3"/>
  <c r="M39" i="3"/>
  <c r="L29" i="3"/>
  <c r="M29" i="3" s="1"/>
  <c r="M116" i="3"/>
  <c r="L105" i="3"/>
  <c r="M105" i="3" s="1"/>
  <c r="M536" i="3"/>
  <c r="L524" i="3"/>
  <c r="M524" i="3" s="1"/>
  <c r="M342" i="3"/>
  <c r="L336" i="3"/>
  <c r="M336" i="3" s="1"/>
  <c r="L386" i="3"/>
  <c r="M386" i="3" s="1"/>
  <c r="M397" i="3"/>
  <c r="M354" i="3"/>
  <c r="L349" i="3"/>
  <c r="M349" i="3" s="1"/>
  <c r="M28" i="3"/>
  <c r="L19" i="3"/>
  <c r="M19" i="3" s="1"/>
  <c r="M427" i="3"/>
  <c r="L419" i="3"/>
  <c r="M419" i="3" s="1"/>
  <c r="L546" i="3" s="1"/>
  <c r="M333" i="3"/>
  <c r="L327" i="3"/>
  <c r="M327" i="3" s="1"/>
  <c r="L316" i="2"/>
  <c r="M316" i="2" s="1"/>
  <c r="M325" i="2"/>
  <c r="M68" i="2"/>
  <c r="L56" i="2"/>
  <c r="M56" i="2" s="1"/>
  <c r="L457" i="2"/>
  <c r="M457" i="2" s="1"/>
  <c r="M462" i="2"/>
  <c r="L485" i="2"/>
  <c r="M485" i="2" s="1"/>
  <c r="L506" i="2" s="1"/>
  <c r="M493" i="2"/>
  <c r="M390" i="2"/>
  <c r="L381" i="2"/>
  <c r="M381" i="2" s="1"/>
  <c r="M439" i="2"/>
  <c r="L433" i="2"/>
  <c r="M433" i="2" s="1"/>
  <c r="M428" i="2"/>
  <c r="L417" i="2"/>
  <c r="M417" i="2" s="1"/>
  <c r="M380" i="2"/>
  <c r="L368" i="2"/>
  <c r="M368" i="2" s="1"/>
  <c r="L144" i="2"/>
  <c r="M144" i="2" s="1"/>
  <c r="M155" i="2"/>
  <c r="M505" i="2"/>
  <c r="L494" i="2"/>
  <c r="M494" i="2" s="1"/>
  <c r="M311" i="2"/>
  <c r="L300" i="2"/>
  <c r="M300" i="2" s="1"/>
  <c r="M261" i="2"/>
  <c r="L250" i="2"/>
  <c r="M250" i="2" s="1"/>
  <c r="M405" i="2"/>
  <c r="L395" i="2"/>
  <c r="M395" i="2" s="1"/>
  <c r="L46" i="2"/>
  <c r="M46" i="2" s="1"/>
  <c r="M55" i="2"/>
  <c r="M143" i="2"/>
  <c r="L132" i="2"/>
  <c r="M132" i="2" s="1"/>
  <c r="L234" i="2"/>
  <c r="M234" i="2" s="1"/>
  <c r="M239" i="2"/>
  <c r="M34" i="2"/>
  <c r="L25" i="2"/>
  <c r="M25" i="2" s="1"/>
  <c r="L576" i="2"/>
  <c r="M576" i="2" s="1"/>
  <c r="M580" i="2"/>
  <c r="M448" i="2"/>
  <c r="L442" i="2"/>
  <c r="M442" i="2" s="1"/>
  <c r="M207" i="2"/>
  <c r="L198" i="2"/>
  <c r="M198" i="2" s="1"/>
  <c r="M342" i="2"/>
  <c r="L336" i="2"/>
  <c r="M336" i="2" s="1"/>
  <c r="L525" i="2"/>
  <c r="M525" i="2" s="1"/>
  <c r="L575" i="2" s="1"/>
  <c r="M529" i="2"/>
  <c r="L15" i="2"/>
  <c r="M15" i="2" s="1"/>
  <c r="L129" i="2" s="1"/>
  <c r="M24" i="2"/>
  <c r="L146" i="5" l="1"/>
  <c r="M146" i="5" s="1"/>
  <c r="M262" i="5"/>
  <c r="M496" i="5"/>
  <c r="L380" i="5"/>
  <c r="M380" i="5" s="1"/>
  <c r="L497" i="5"/>
  <c r="M497" i="5" s="1"/>
  <c r="M570" i="5"/>
  <c r="M379" i="5"/>
  <c r="L263" i="5"/>
  <c r="M263" i="5" s="1"/>
  <c r="M144" i="5"/>
  <c r="L5" i="5"/>
  <c r="M5" i="5" s="1"/>
  <c r="M546" i="3"/>
  <c r="L400" i="3"/>
  <c r="M400" i="3" s="1"/>
  <c r="L261" i="3"/>
  <c r="M261" i="3" s="1"/>
  <c r="M357" i="3"/>
  <c r="L398" i="3"/>
  <c r="L260" i="3"/>
  <c r="L152" i="3"/>
  <c r="L464" i="2"/>
  <c r="M464" i="2" s="1"/>
  <c r="M506" i="2"/>
  <c r="L509" i="2"/>
  <c r="M509" i="2" s="1"/>
  <c r="M575" i="2"/>
  <c r="L623" i="2" s="1"/>
  <c r="L248" i="2"/>
  <c r="M129" i="2"/>
  <c r="L5" i="2"/>
  <c r="M5" i="2" s="1"/>
  <c r="L366" i="2"/>
  <c r="L463" i="2"/>
  <c r="L571" i="5" l="1"/>
  <c r="M152" i="3"/>
  <c r="L5" i="3"/>
  <c r="M5" i="3" s="1"/>
  <c r="M260" i="3"/>
  <c r="L154" i="3"/>
  <c r="M154" i="3" s="1"/>
  <c r="M398" i="3"/>
  <c r="L358" i="3"/>
  <c r="M358" i="3" s="1"/>
  <c r="L131" i="2"/>
  <c r="M131" i="2" s="1"/>
  <c r="M248" i="2"/>
  <c r="M623" i="2"/>
  <c r="L508" i="2"/>
  <c r="M508" i="2" s="1"/>
  <c r="M366" i="2"/>
  <c r="L249" i="2"/>
  <c r="M249" i="2" s="1"/>
  <c r="L367" i="2"/>
  <c r="M367" i="2" s="1"/>
  <c r="M463" i="2"/>
  <c r="M571" i="5" l="1"/>
  <c r="L576" i="5" s="1"/>
  <c r="L145" i="5"/>
  <c r="M145" i="5" s="1"/>
  <c r="L399" i="3"/>
  <c r="L507" i="2"/>
  <c r="M576" i="5" l="1"/>
  <c r="L4" i="5"/>
  <c r="M4" i="5" s="1"/>
  <c r="L153" i="3"/>
  <c r="M153" i="3" s="1"/>
  <c r="M399" i="3"/>
  <c r="L547" i="3" s="1"/>
  <c r="M507" i="2"/>
  <c r="L624" i="2" s="1"/>
  <c r="L130" i="2"/>
  <c r="M130" i="2" s="1"/>
  <c r="M547" i="3" l="1"/>
  <c r="L4" i="3"/>
  <c r="M4" i="3" s="1"/>
  <c r="M624" i="2"/>
  <c r="L4" i="2"/>
  <c r="M4" i="2" s="1"/>
</calcChain>
</file>

<file path=xl/sharedStrings.xml><?xml version="1.0" encoding="utf-8"?>
<sst xmlns="http://schemas.openxmlformats.org/spreadsheetml/2006/main" count="6928" uniqueCount="1106">
  <si>
    <t>IMPORT TOTAL DEL PRESSUPOST:</t>
  </si>
  <si>
    <t>TOTAL CAPÍTOL 01.F5.08</t>
  </si>
  <si>
    <t>PA mesures internes de la obra</t>
  </si>
  <si>
    <t>u</t>
  </si>
  <si>
    <t>HB2AAE05</t>
  </si>
  <si>
    <t>1</t>
  </si>
  <si>
    <t>01.F5.08</t>
  </si>
  <si>
    <t>SEGURETAT I SALUT</t>
  </si>
  <si>
    <t>08</t>
  </si>
  <si>
    <t xml:space="preserve">Capitol </t>
  </si>
  <si>
    <t>FASE V</t>
  </si>
  <si>
    <t>F5</t>
  </si>
  <si>
    <t>Fase</t>
  </si>
  <si>
    <t>6017_GEO VdN Pressupost</t>
  </si>
  <si>
    <t>01</t>
  </si>
  <si>
    <t>Obra</t>
  </si>
  <si>
    <t>TOTAL CAPÍTOL 01.F5.07</t>
  </si>
  <si>
    <t>Partida alçada a justificar per a imprevistos durant l’obra
En els últims projectes de repar</t>
  </si>
  <si>
    <t>PA000AR05</t>
  </si>
  <si>
    <t>01.F5.07</t>
  </si>
  <si>
    <t>IMPREVISTOS</t>
  </si>
  <si>
    <t>07</t>
  </si>
  <si>
    <t>TOTAL CAPÍTOL 01.F5.06</t>
  </si>
  <si>
    <t>Legalització elèctrica</t>
  </si>
  <si>
    <t>E000AR50</t>
  </si>
  <si>
    <t>2</t>
  </si>
  <si>
    <t>01.F5.06</t>
  </si>
  <si>
    <t>Legalització instal·lació de clima</t>
  </si>
  <si>
    <t>E000AR10</t>
  </si>
  <si>
    <t>LEGALITZACIONS</t>
  </si>
  <si>
    <t>06</t>
  </si>
  <si>
    <t>TOTAL CAPÍTOL 01.F5.05</t>
  </si>
  <si>
    <t>Partida per desmantellament sala calderes</t>
  </si>
  <si>
    <t>EY03A90</t>
  </si>
  <si>
    <t>7</t>
  </si>
  <si>
    <t>01.F5.05</t>
  </si>
  <si>
    <t>Partida connexió dipòsits ACS Sant Antoni</t>
  </si>
  <si>
    <t>EJAAAR30</t>
  </si>
  <si>
    <t>6</t>
  </si>
  <si>
    <t>Partida per l'adequació de la bugaderia</t>
  </si>
  <si>
    <t>EY03AR70</t>
  </si>
  <si>
    <t>5</t>
  </si>
  <si>
    <t>Construcció bancada per equips</t>
  </si>
  <si>
    <t>E45CAR00</t>
  </si>
  <si>
    <t>4</t>
  </si>
  <si>
    <t>Transport de material en cremallera a VdN</t>
  </si>
  <si>
    <t>E000AR00</t>
  </si>
  <si>
    <t>3</t>
  </si>
  <si>
    <t>Ajudes ram paleta per obertura forats</t>
  </si>
  <si>
    <t>EY03AR00</t>
  </si>
  <si>
    <t>Ajudes obertura cel rassos</t>
  </si>
  <si>
    <t>E844AR10</t>
  </si>
  <si>
    <t>ADEQUACIONS</t>
  </si>
  <si>
    <t>05</t>
  </si>
  <si>
    <t>TOTAL CAPÍTOL 01.F5.04.03</t>
  </si>
  <si>
    <t>Safata reixa+separador acer galv.calent,50mmx200mm,col.susp/param.horitz.</t>
  </si>
  <si>
    <t>m</t>
  </si>
  <si>
    <t>EG2DF6F5</t>
  </si>
  <si>
    <t>01.F5.04.03</t>
  </si>
  <si>
    <t>Cable 0,6/1 kV RZ1-K (AS), 1x95mm2,col.canal/safata</t>
  </si>
  <si>
    <t>EG3121C6</t>
  </si>
  <si>
    <t>Cable 0,6/1 kV RZ1-K (AS), 1x150mm2,col.canal/safata</t>
  </si>
  <si>
    <t>EG3121E6</t>
  </si>
  <si>
    <t>Interruptor auto.magnet.,caixa emmot.400A,4P-3R,3R+N/2,4R,70kA,munt.superf.</t>
  </si>
  <si>
    <t>EG41LTTT</t>
  </si>
  <si>
    <t>Actuacions a quadre general</t>
  </si>
  <si>
    <t>EG41AR50</t>
  </si>
  <si>
    <t>CONNEXIÓ AMB SALA ELÈCTRICA SANT ANTONI QGD</t>
  </si>
  <si>
    <t>03</t>
  </si>
  <si>
    <t>Apartat</t>
  </si>
  <si>
    <t>ACTUACIONS ELÈCTRIQUES</t>
  </si>
  <si>
    <t>04</t>
  </si>
  <si>
    <t>TOTAL CAPÍTOL 01.F5.04.02</t>
  </si>
  <si>
    <t>11</t>
  </si>
  <si>
    <t>01.F5.04.02</t>
  </si>
  <si>
    <t>Safata xapa perforada acer galv.calent,75mmx75mm,col.susp/param.horitz.</t>
  </si>
  <si>
    <t>EG2DDBA2</t>
  </si>
  <si>
    <t>10</t>
  </si>
  <si>
    <t>Tub rígid plàstic s/halògens,DN=32mm,impacte=2J,resist.compress.=1250N,unió endollada+munt.supe</t>
  </si>
  <si>
    <t>EG21H91J</t>
  </si>
  <si>
    <t>9</t>
  </si>
  <si>
    <t>Tub flexible corrugat plàstic s/halògens,DN=32mmbaixa emissió fums,2J,320N,2000V,sob/sostremort</t>
  </si>
  <si>
    <t>EG22H915</t>
  </si>
  <si>
    <t>8</t>
  </si>
  <si>
    <t>Caixa deriv.plàstic,120x160mm,prot.IP-40,munt.superf.</t>
  </si>
  <si>
    <t>EG161512</t>
  </si>
  <si>
    <t>Cable 0,6/1 kV RZ1-K (AS), 3x1,5mm2,col.canal/safata</t>
  </si>
  <si>
    <t>EG312326</t>
  </si>
  <si>
    <t>Cable 0,6/1 kV RZ1-K (AS), 5x10mm2,col.canal/safata</t>
  </si>
  <si>
    <t>EG312666</t>
  </si>
  <si>
    <t>Cable 0,6/1 kV RZ1-K (AS), 3x2,5mm2,col.canal/safata</t>
  </si>
  <si>
    <t>EG312336</t>
  </si>
  <si>
    <t>Cable 0,6/1 kV RZ1-K (AS), 5x6mm2,col.canal/safata</t>
  </si>
  <si>
    <t>EG312656</t>
  </si>
  <si>
    <t>Cable 0,6/1 kV RZ1-K (AS), 5x2,5mm2,col.canal/safata</t>
  </si>
  <si>
    <t>EG312636</t>
  </si>
  <si>
    <t>Quadre elèctric Sala Producció Sant Antoni</t>
  </si>
  <si>
    <t>EG40SC01</t>
  </si>
  <si>
    <t>SANT ANTONI GEOTERMIA</t>
  </si>
  <si>
    <t>02</t>
  </si>
  <si>
    <t>TOTAL CAPÍTOL 01.F5.04.01</t>
  </si>
  <si>
    <t>01.F5.04.01</t>
  </si>
  <si>
    <t>SubQuadre elèctric Sala Calderes i Acs Sant Antoni</t>
  </si>
  <si>
    <t>EG40SC02</t>
  </si>
  <si>
    <t>SANT ANTONI CALDERES</t>
  </si>
  <si>
    <t>TOTAL CAPÍTOL 01.F5.03.03</t>
  </si>
  <si>
    <t xml:space="preserve">Programació i posada en marxa </t>
  </si>
  <si>
    <t>EEV5SC52</t>
  </si>
  <si>
    <t>01.F5.03.03</t>
  </si>
  <si>
    <t>Instal·lació elèctric p/punt control equips</t>
  </si>
  <si>
    <t>EEV4AR10</t>
  </si>
  <si>
    <t>Instal·lació de cable bus modbus</t>
  </si>
  <si>
    <t>EEVZAR31</t>
  </si>
  <si>
    <t>Instal·lació de cable bus Lon</t>
  </si>
  <si>
    <t>EEVZAR30</t>
  </si>
  <si>
    <t>Cable de comunicacions p/BUS de dades, 2x1 mm2 trenat i apantallat</t>
  </si>
  <si>
    <t>EEV41210</t>
  </si>
  <si>
    <t>Cablejat i control</t>
  </si>
  <si>
    <t>SISTEMA DE CONTROL</t>
  </si>
  <si>
    <t>TOTAL CAPÍTOL 01.F5.03.02.02</t>
  </si>
  <si>
    <t xml:space="preserve">Subministre i instal·lació subestació control </t>
  </si>
  <si>
    <t>1EV2AR19</t>
  </si>
  <si>
    <t>01.F5.03.02.02</t>
  </si>
  <si>
    <t>Cable d'extensió tipus L, entre Automation Server i mòduls d'Entrada i sortida, conectors, longit</t>
  </si>
  <si>
    <t>1EV2AR18</t>
  </si>
  <si>
    <t>Base terminal SXWTBPSW110001 per font d'alimentació del sistema STRUXUWARE FOR BUILDINGS</t>
  </si>
  <si>
    <t>1EV2AR17</t>
  </si>
  <si>
    <t>Font d'Alimentació del sistema.</t>
  </si>
  <si>
    <t>1EV2AR16</t>
  </si>
  <si>
    <t xml:space="preserve">Base terminal SXWTBIOW110001 per a Mòduls de Entrada/Sortida Plataforma STRUXUWARE FOR BUILDINGS </t>
  </si>
  <si>
    <t>1EV2AR13</t>
  </si>
  <si>
    <t>Automation Server LON / BACNet, Plataforma STRUXUWARE FOR BUILDINGS</t>
  </si>
  <si>
    <t>1EV2AR14</t>
  </si>
  <si>
    <t xml:space="preserve">Base terminal SXWTBASW110001 per a Automation Server STRUXUWARE FOR BUILDINGS </t>
  </si>
  <si>
    <t>1EV2AR15</t>
  </si>
  <si>
    <t>Módul de E/S SXW  8UI / 4AO</t>
  </si>
  <si>
    <t>1EV2AR31</t>
  </si>
  <si>
    <t>Módul de E/S SXW  8UI / 4DO</t>
  </si>
  <si>
    <t>1EV2AR30</t>
  </si>
  <si>
    <t>Módul de E/S SXW 16 DI</t>
  </si>
  <si>
    <t>1EV2AR11</t>
  </si>
  <si>
    <t>Módul de E/S SXW 12 DO</t>
  </si>
  <si>
    <t>1EV2AR02</t>
  </si>
  <si>
    <t>Sant Antoni Sala Geotermia</t>
  </si>
  <si>
    <t>Situacio</t>
  </si>
  <si>
    <t>Quadres de control</t>
  </si>
  <si>
    <t>TOTAL CAPÍTOL 01.F5.03.02.01</t>
  </si>
  <si>
    <t>Mòdul E/S Xenta 415</t>
  </si>
  <si>
    <t>1EV2AR27</t>
  </si>
  <si>
    <t>01.F5.03.02.01</t>
  </si>
  <si>
    <t>1EV2AR24</t>
  </si>
  <si>
    <t>Base elèctrica per a mòduls XENTA</t>
  </si>
  <si>
    <t>1EV2AR23</t>
  </si>
  <si>
    <t>Base elèctrica per a mòduls XENTA 280/300</t>
  </si>
  <si>
    <t>1EV2AR22</t>
  </si>
  <si>
    <t xml:space="preserve">Mòdul E/S Xenta 411 </t>
  </si>
  <si>
    <t>1EV2AR21</t>
  </si>
  <si>
    <t>Controlador XENTA 301</t>
  </si>
  <si>
    <t>1EV2AR20</t>
  </si>
  <si>
    <t>Sant Antoni ACS i calderes back-up</t>
  </si>
  <si>
    <t>TOTAL CAPÍTOL 01.F5.03.01.02</t>
  </si>
  <si>
    <t xml:space="preserve">Presostat circuits aigua 0-10 bar </t>
  </si>
  <si>
    <t>EEV29012</t>
  </si>
  <si>
    <t>01.F5.03.01.02</t>
  </si>
  <si>
    <t>Transmisor de pressió diferencial d'agua de 0 a 16 bar</t>
  </si>
  <si>
    <t>EEV29011</t>
  </si>
  <si>
    <t>Sonda temperatura d'immersió L=100 amb vaina</t>
  </si>
  <si>
    <t>EEV21D02</t>
  </si>
  <si>
    <t>Sonda temperatura d'immersió L=150 amb vaina</t>
  </si>
  <si>
    <t>EEV21D00</t>
  </si>
  <si>
    <t>Elemens de camp</t>
  </si>
  <si>
    <t>TOTAL CAPÍTOL 01.F5.03.01.01</t>
  </si>
  <si>
    <t>Sonda temp.+humitat relativa ext.,munt.+connectada</t>
  </si>
  <si>
    <t>EEV23E00</t>
  </si>
  <si>
    <t>01.F5.03.01.01</t>
  </si>
  <si>
    <t>Vàlvula seient 3 vies,rosca 1''1/2,kvs=25,16bar,r&gt;15mm,fosa,servomotor 3 punts</t>
  </si>
  <si>
    <t>EN713843</t>
  </si>
  <si>
    <t>Actuador electromecànic</t>
  </si>
  <si>
    <t>EEV21D01</t>
  </si>
  <si>
    <t xml:space="preserve">Interruptor de cabal </t>
  </si>
  <si>
    <t>EEV29010</t>
  </si>
  <si>
    <t>Sant Antoni ACS i Calderes back-up</t>
  </si>
  <si>
    <t>TOTAL CAPÍTOL 01.F5.02.02</t>
  </si>
  <si>
    <t xml:space="preserve">Conjunt de connexió a bomba amb valvuleria DN40 </t>
  </si>
  <si>
    <t>1NL2AR01</t>
  </si>
  <si>
    <t>16</t>
  </si>
  <si>
    <t>01.F5.02.02</t>
  </si>
  <si>
    <t>Tub PE 100,DN=40mm,PN=16bar,sèrie SDR 11,UNE-EN 12201-2,connect.pressió,dific.mitjà,accessoris p</t>
  </si>
  <si>
    <t>EFB17652</t>
  </si>
  <si>
    <t>15</t>
  </si>
  <si>
    <t>Tub PE 100,DN=32mm,PN=16bar,sèrie SDR 11,UNE-EN 12201-2,connect.pressió,dific.mitjà,accessoris p</t>
  </si>
  <si>
    <t>EFB16652</t>
  </si>
  <si>
    <t>14</t>
  </si>
  <si>
    <t>Tub PE 100,DN=63mm,PN=10bar,sèrie SDR 17,UNE-EN 12201-2,connect.pressió,dific.mitjà,accessoris p</t>
  </si>
  <si>
    <t>EFB19452</t>
  </si>
  <si>
    <t>13</t>
  </si>
  <si>
    <t>Purgador automàt.aire,llautó,vert.+vàlvula obt.,D=3/8´´</t>
  </si>
  <si>
    <t>EEU11113</t>
  </si>
  <si>
    <t>12</t>
  </si>
  <si>
    <t>[A02] Bomba Aerotermia alta temperatura</t>
  </si>
  <si>
    <t>EEH5AI10</t>
  </si>
  <si>
    <t xml:space="preserve">[B02] Bomba circuladora  marca 'GRUNDFOS' model 'MAGNA 3 25-60' q=2.3 m³/h p=5.8 mca </t>
  </si>
  <si>
    <t>ENL2SE16</t>
  </si>
  <si>
    <t xml:space="preserve">[B03] Bomba circuladora marca 'GRUNDFOS' model 'SCALA 3-45' q=1.8 m³/h i  p=6mca </t>
  </si>
  <si>
    <t>ENL2SE19</t>
  </si>
  <si>
    <t xml:space="preserve">Colector Sant Antoni </t>
  </si>
  <si>
    <t>EF11AE13</t>
  </si>
  <si>
    <t>[B10] Bomba circ. 'GRUNDFOS' model 'alpha 2 25-60 180' circuit aerotermia q=2.3 m³/h p=2.5 mca</t>
  </si>
  <si>
    <t>ENL2SE17</t>
  </si>
  <si>
    <t>Vàlvula bola manual rosca,2peces,pas tot.,acer inox.1.4408 (AISI 316),DN=2´´,PN=64bar,superf.</t>
  </si>
  <si>
    <t>EN319A27</t>
  </si>
  <si>
    <t xml:space="preserve">[I02] Bescanviador 69 kW </t>
  </si>
  <si>
    <t>EJACSE11</t>
  </si>
  <si>
    <t xml:space="preserve">[I03] Bescanviador 425 kW </t>
  </si>
  <si>
    <t>EJACSE12</t>
  </si>
  <si>
    <t>Comptador ACS DN50</t>
  </si>
  <si>
    <t>EEGBIC03</t>
  </si>
  <si>
    <t>Comptador de calories + cabalímetre DN100'</t>
  </si>
  <si>
    <t>EEVGKA13</t>
  </si>
  <si>
    <t>Subministrament i instal·lació de valvula TA FUSION-P-100</t>
  </si>
  <si>
    <t>EN72TA06</t>
  </si>
  <si>
    <t>SUBESTACIÓ SANT ANTONI</t>
  </si>
  <si>
    <t>XARXA DE DISTRIBUCIÓ DE CALOR</t>
  </si>
  <si>
    <t>TOTAL CAPÍTOL 01.F5.02.01</t>
  </si>
  <si>
    <t>Termòmetre bimetàl·lic,beina D=1/2´´,esfera 65mm,&lt;=80°C,col.roscat</t>
  </si>
  <si>
    <t>EEU52552</t>
  </si>
  <si>
    <t>01.F5.02.01</t>
  </si>
  <si>
    <t>Manòmetre glicerina,0-10bar,esfera 63mm,rosca D=1/4'',roscat</t>
  </si>
  <si>
    <t>EEU6U001</t>
  </si>
  <si>
    <t>Tub PE 100,DN=125mm,PN=16bar,sèrie SDR 11,UNE-EN 12201-2,soldat,dific.mitjà,accessoris plàst.,su</t>
  </si>
  <si>
    <t>EFB1F622</t>
  </si>
  <si>
    <t>Vàlvula papallona entre brides,DN=100mm,PN=16bar,alumini,munt.superf.</t>
  </si>
  <si>
    <t>EN42E4L7</t>
  </si>
  <si>
    <t>XARXA DE DISTRIBUCIÓ PRINCIPAL</t>
  </si>
  <si>
    <t>TOTAL CAPÍTOL 01.F5.01.03</t>
  </si>
  <si>
    <t>Aïllament tèrmic escum.elastom.,fluids (-50 i 105°C),D=140mm,g=32mm,factor dif.vapor&gt;=7000superf</t>
  </si>
  <si>
    <t>EFQ33CRL</t>
  </si>
  <si>
    <t>20</t>
  </si>
  <si>
    <t>01.F5.01.03</t>
  </si>
  <si>
    <t>Aïllament tèrmic escum.elastom.,fluids (-50 i 105°C),D=102mm,g=32mm,factor dif.vapor&gt;=7000superf</t>
  </si>
  <si>
    <t>EFQ33CML</t>
  </si>
  <si>
    <t>19</t>
  </si>
  <si>
    <t>Aïllament tèrmic escum.elastom.,fluids (-50 i 105°C),D=64mm,g=32mm,factor dif.vapor&gt;=7000superf.</t>
  </si>
  <si>
    <t>EFQ33CGL</t>
  </si>
  <si>
    <t>18</t>
  </si>
  <si>
    <t>1NL2AR02</t>
  </si>
  <si>
    <t>17</t>
  </si>
  <si>
    <t>Filtre colador,llautó,DN=2´´,PN=16bar,roscat,munt.superf.</t>
  </si>
  <si>
    <t>ENE19304</t>
  </si>
  <si>
    <t>Conjunt omplerta DN40 - Ø1 1/2'' - 50PE</t>
  </si>
  <si>
    <t>EJM12AE05</t>
  </si>
  <si>
    <t>Conjunt de buidat punt baix</t>
  </si>
  <si>
    <t>1NC1AR10</t>
  </si>
  <si>
    <t>Omplerta de circuit aigua glicolada</t>
  </si>
  <si>
    <t>m3</t>
  </si>
  <si>
    <t>EN00AR90</t>
  </si>
  <si>
    <t>Vàlvula bola manual rosca,2peces,pas tot.,bronze,DN=1´´1/2,PN=16bar,superf.</t>
  </si>
  <si>
    <t>EN318427</t>
  </si>
  <si>
    <t>Tub PE 100,DN=63mm,PN=10bar,sèrie SDR 17,UNE-EN 12201-2,soldat,dific.mitjà,accessoris plàst.,sup</t>
  </si>
  <si>
    <t>EFB19422</t>
  </si>
  <si>
    <t>Tub de polietilè reticulat (PE-X) pre-aïllat marca 'REHAU' model 'RAUVITHERM' de 40 mm</t>
  </si>
  <si>
    <t>EFB17452</t>
  </si>
  <si>
    <t>Tub PE 100,DN=90mm,PN=10bar,sèrie SDR 17,UNE-EN 12201-2,soldat,dific.mitjà,accessoris plàst.,sup</t>
  </si>
  <si>
    <t>EFB1C422</t>
  </si>
  <si>
    <t>Tub PE 100,DN=140mm,PN=10bar,sèrie SDR 17,UNE-EN 12201-2,soldat,dific.mitjà,accessoris plàst.,su</t>
  </si>
  <si>
    <t>EFB1G422</t>
  </si>
  <si>
    <t xml:space="preserve">[B09] Bomba circuladora  'GRUNDFOS' model 'TP 32-90/2 A-O-E-BQQE' q=10.8 m³/h i p=17.8 mca </t>
  </si>
  <si>
    <t>ENL2SE14</t>
  </si>
  <si>
    <t>[B07] Bomba circuladora marca 'GRUNDFOS' model 'TPE65-240/F-S A-F-A-BQQE' q=51,6 m³/h  i p=19.6 mc</t>
  </si>
  <si>
    <t>ENL2SE13</t>
  </si>
  <si>
    <t>Vàlvula papll.concènt.,UNE-EN 593,manual,entre brides,DN=125mm,PN=10bar,alumini fos/EN-GJS-400-15</t>
  </si>
  <si>
    <t>EN42Y5E7</t>
  </si>
  <si>
    <t xml:space="preserve">[AH01] Agulla Hidràulica </t>
  </si>
  <si>
    <t>1JABAR04</t>
  </si>
  <si>
    <t>Valvula d'equilibrat TA STAF40</t>
  </si>
  <si>
    <t>ENC2TA44</t>
  </si>
  <si>
    <t>CIRCUIT POUS</t>
  </si>
  <si>
    <t>SALA PRODUCCIÓ SANT ANTONI</t>
  </si>
  <si>
    <t>TOTAL CAPÍTOL 01.F5.01.02</t>
  </si>
  <si>
    <t>01.F5.01.02</t>
  </si>
  <si>
    <t>Tub PE 100,DN=90mm,PN=16bar,sèrie SDR 11,UNE-EN 12201-2,soldat,dific.mitjà,accessoris plàst.,sup</t>
  </si>
  <si>
    <t>EFB1C622</t>
  </si>
  <si>
    <t>Vàlvula bola manual rosca,2peces,pas tot.,acer inox.1.4408 (AISI 316),DN=2´´1/2,PN=64bar,superf.</t>
  </si>
  <si>
    <t>EN31AA27</t>
  </si>
  <si>
    <t>Vàlvula bola manual rosca,2peces,pas tot.,llautó,DN=1´´1/4,PN=25bar,superf.</t>
  </si>
  <si>
    <t>EN317727</t>
  </si>
  <si>
    <t>Filtre colador,llautó,DN=1´´1/4,PN=16bar,roscat,munt.superf.</t>
  </si>
  <si>
    <t>ENE17304</t>
  </si>
  <si>
    <t>Vàlvula bola manual rosca,2peces,pas tot.,acer inox.1.4408 (AISI 316),DN=1´´1/2,PN=64bar,superf.</t>
  </si>
  <si>
    <t>EN318A27IC4V</t>
  </si>
  <si>
    <t>Vàlvula bola manual rosca,2peces,pas tot.,llautó,DN=4´´,PN=25bar,superf.</t>
  </si>
  <si>
    <t>EN31D727</t>
  </si>
  <si>
    <t xml:space="preserve">[Vi02] D. Inèrcia </t>
  </si>
  <si>
    <t>1JABAR03</t>
  </si>
  <si>
    <t>[VE01] Conjunt vas d'expansió 300l</t>
  </si>
  <si>
    <t>EEU4SX66</t>
  </si>
  <si>
    <t>[G01] Bomba de Calor Geotèrmica</t>
  </si>
  <si>
    <t>EED5AR01</t>
  </si>
  <si>
    <t>PRODUCCIÓ</t>
  </si>
  <si>
    <t>TOTAL CAPÍTOL 01.F5.01.01</t>
  </si>
  <si>
    <t>01.F5.01.01</t>
  </si>
  <si>
    <t>Vàlvula papll.concènt.,UNE-EN 593,manual,entre brides,DN=100mm,PN=16bar,EN-GJS-400-15/EN-GJS-400-</t>
  </si>
  <si>
    <t>EN4236D7</t>
  </si>
  <si>
    <t>Filtre colador en ´´Y´´,+brides,DN=125mm,PN=16bar,EN-GJL-250,pas malla=1,5mm,muntat superf.</t>
  </si>
  <si>
    <t>ENE2E304</t>
  </si>
  <si>
    <t>[B06] Bomba circuladora 'GRUNDFOS' model 'TPE65-210/2-S-AS-F-A-BQQE' q=41.8 m³/h p=17.4 mca</t>
  </si>
  <si>
    <t>ENL2SE12</t>
  </si>
  <si>
    <t>Conjunt de connexió a bomba amb valvuleria de DN150</t>
  </si>
  <si>
    <t>1NL2AR00</t>
  </si>
  <si>
    <t xml:space="preserve">[B04] Bomba circuladora  'GRUNDFOS' model 'TPE50-290/2 S A-F-I-BQQE' q=31 m3/h p=18.7 mca </t>
  </si>
  <si>
    <t>ENL2SE11</t>
  </si>
  <si>
    <t>DISTRIBUCIÓ</t>
  </si>
  <si>
    <t>TOTAL CAPÍTOL 01.F3.08</t>
  </si>
  <si>
    <t>HB2AAE03</t>
  </si>
  <si>
    <t>01.F3.08</t>
  </si>
  <si>
    <t>FASE III</t>
  </si>
  <si>
    <t>F3</t>
  </si>
  <si>
    <t>TOTAL CAPÍTOL 01.F3.07</t>
  </si>
  <si>
    <t>PA000AR03</t>
  </si>
  <si>
    <t>01.F3.07</t>
  </si>
  <si>
    <t>TOTAL CAPÍTOL 01.F3.06</t>
  </si>
  <si>
    <t>01.F3.06</t>
  </si>
  <si>
    <t>TOTAL CAPÍTOL 01.F3.05.02</t>
  </si>
  <si>
    <t>Safata reixa+coberta acer galv.calent,50mmx150mm,col.susp/param.horitz.</t>
  </si>
  <si>
    <t>EG2DF6E8</t>
  </si>
  <si>
    <t>01.F3.05.02</t>
  </si>
  <si>
    <t>Caixa deriv.fosa alum.,120x160mm,prot.IP-40,munt.superf.</t>
  </si>
  <si>
    <t>EG162512</t>
  </si>
  <si>
    <t>Cable 0,6/1 kV RZ1-K (AS), 3x2,5mm2,col.tub</t>
  </si>
  <si>
    <t>EG312334</t>
  </si>
  <si>
    <t>Tub rígid acer galv.,DN=32mm,impacte=20J,resist.compress.=4000N,unió endollada+munt.superf.</t>
  </si>
  <si>
    <t>EG23E915</t>
  </si>
  <si>
    <t>SubQuadre elèctric Sant Justí</t>
  </si>
  <si>
    <t>EG40SC03</t>
  </si>
  <si>
    <t>Noves proteccions Subquadre ampliació Clima Sant Josep</t>
  </si>
  <si>
    <t>EG40SC04</t>
  </si>
  <si>
    <t>SANT JUSTI</t>
  </si>
  <si>
    <t>TOTAL CAPÍTOL 01.F3.05.01</t>
  </si>
  <si>
    <t>01.F3.05.01</t>
  </si>
  <si>
    <t>SANT JOSEP</t>
  </si>
  <si>
    <t>TOTAL CAPÍTOL 01.F3.04.03</t>
  </si>
  <si>
    <t>01.F3.04.03</t>
  </si>
  <si>
    <t>CABLEJAT I CONTROL</t>
  </si>
  <si>
    <t>SISTEMA CONTROL</t>
  </si>
  <si>
    <t>TOTAL CAPÍTOL 01.F3.04.02</t>
  </si>
  <si>
    <t>01.F3.04.02</t>
  </si>
  <si>
    <t>TOTAL CAPÍTOL 01.F3.04.01</t>
  </si>
  <si>
    <t>01.F3.04.01</t>
  </si>
  <si>
    <t>Elements de camp</t>
  </si>
  <si>
    <t>TOTAL CAPÍTOL 01.F3.03.01</t>
  </si>
  <si>
    <t>28</t>
  </si>
  <si>
    <t>01.F3.03.01</t>
  </si>
  <si>
    <t>Aïllament tèrmic escum.elastom.,fluids (-50 i 105°C),D=42mm,g=32mm,factor dif.vapor&gt;=5000superf.</t>
  </si>
  <si>
    <t>EFQ32CCL</t>
  </si>
  <si>
    <t>27</t>
  </si>
  <si>
    <t>26</t>
  </si>
  <si>
    <t>[A01] Bomba Aerotermia alta temperatura</t>
  </si>
  <si>
    <t>EEH5AI11</t>
  </si>
  <si>
    <t>25</t>
  </si>
  <si>
    <t>Omplerta de circuit aigua</t>
  </si>
  <si>
    <t>EN00AR95</t>
  </si>
  <si>
    <t>24</t>
  </si>
  <si>
    <t>23</t>
  </si>
  <si>
    <t>22</t>
  </si>
  <si>
    <t>21</t>
  </si>
  <si>
    <t>Filtre colador,llautó,DN=1´´1/2,PN=16bar,roscat,munt.superf.</t>
  </si>
  <si>
    <t>ENE18304</t>
  </si>
  <si>
    <t>Vàlvula retenció clap.+rosca,DN=1´´1/4,PN=10bar,llautó/llautó,seient elàstic,superf.</t>
  </si>
  <si>
    <t>EN811597</t>
  </si>
  <si>
    <t>Vàlvula retenció clap.+rosca,DN=1´´1/2,PN=10bar,llautó/llautó,seient elàstic,superf.</t>
  </si>
  <si>
    <t>EN8115A7</t>
  </si>
  <si>
    <t>Vàlvula bola manual rosca,2peces,pas tot.,bronze,DN=1´´1/4,PN=16bar,superf.</t>
  </si>
  <si>
    <t>EN317427</t>
  </si>
  <si>
    <t>Aïllament tèrmic escum.elastom.,fluids (-50 i 105°C),D=35mm,g=25mm,factor dif.vapor&gt;=7000superf.</t>
  </si>
  <si>
    <t>EFQ33ABL</t>
  </si>
  <si>
    <t xml:space="preserve">[B03] Bomba circuladora marca 'GRUNDFOS' model 'SCALA3-45' q=0.7 m³/h p=8 mca </t>
  </si>
  <si>
    <t>ENL2SE18</t>
  </si>
  <si>
    <t>Vàlvula papallona entre brides,DN=80mm,PN=16bar,alumini,munt.superf.</t>
  </si>
  <si>
    <t>EN42B4L7</t>
  </si>
  <si>
    <t xml:space="preserve">Colector Sant Justí </t>
  </si>
  <si>
    <t>EF11AE11</t>
  </si>
  <si>
    <t>[I01] Bescanviador 39 kW</t>
  </si>
  <si>
    <t>EJACSE10</t>
  </si>
  <si>
    <t>Comptador ACS DN32</t>
  </si>
  <si>
    <t>EEGBIC02</t>
  </si>
  <si>
    <t>Comptador de calories + cabalímetre DN80'</t>
  </si>
  <si>
    <t>EEVGKA10</t>
  </si>
  <si>
    <t>SUBESTACIÓ SANT JUSTÍ</t>
  </si>
  <si>
    <t>TOTAL CAPÍTOL 01.F3.02.02</t>
  </si>
  <si>
    <t>01.F3.02.02</t>
  </si>
  <si>
    <t>Vàlvula retenció clap.+rosca,DN=2´´,PN=10bar,llautó/llautó,seient elàstic,superf.</t>
  </si>
  <si>
    <t>EN8115B7</t>
  </si>
  <si>
    <t>Vàlvula bola manual rosca,2peces,pas tot.,bronze,DN=2´´,PN=16bar,superf.</t>
  </si>
  <si>
    <t>EN319427</t>
  </si>
  <si>
    <t>[B08] Bomba marca 'GRUNDFOS' model 'TP40-230/2 A-F-A-BQQE' q=11.8 m³/h  p=17.8 mca</t>
  </si>
  <si>
    <t>ENL2SE15</t>
  </si>
  <si>
    <t>Tub PE 100,DN=63mm,PN=16bar,sèrie SDR 11,UNE-EN 12201-2,soldat,dific.mitjà,accessoris plàst.,sup</t>
  </si>
  <si>
    <t>EFB19622</t>
  </si>
  <si>
    <t>SALA PRODUCCIÓ SANT JOSEP</t>
  </si>
  <si>
    <t>TOTAL CAPÍTOL 01.F3.02.01</t>
  </si>
  <si>
    <t>01.F3.02.01</t>
  </si>
  <si>
    <t>Vàlvula comporta manual+rosca,DN=4´´,PN=16bar,bronze/llautó,seient metàl·lic,eix llautó,vola</t>
  </si>
  <si>
    <t>EN1156D7</t>
  </si>
  <si>
    <t>TOTAL CAPÍTOL 01.F3.01</t>
  </si>
  <si>
    <t>Partida connexió dipòsits ACS Sant Justí</t>
  </si>
  <si>
    <t>EJAAAR00</t>
  </si>
  <si>
    <t>01.F3.01</t>
  </si>
  <si>
    <t>Partida per l'adequació de la sala magatzem de Sant Justí per tal de convertir-la en nova sala de</t>
  </si>
  <si>
    <t>EY03AR50</t>
  </si>
  <si>
    <t>Import</t>
  </si>
  <si>
    <t>Amidament</t>
  </si>
  <si>
    <t>Preu</t>
  </si>
  <si>
    <t>01/12/23</t>
  </si>
  <si>
    <t>Data</t>
  </si>
  <si>
    <t>PRESSUPOST</t>
  </si>
  <si>
    <t xml:space="preserve">Projecte executiu per l'ampliació de la instal·lació de geotèrmia al santuari de la Vall de Núria
</t>
  </si>
  <si>
    <t>Obra:</t>
  </si>
  <si>
    <t>Pressupost projectede reforma interior de la distribució tèrmica de les instal.lacions de l'edifici de Sant Antoni de l'Hotel de Vall de Nuria</t>
  </si>
  <si>
    <t>Pressupost</t>
  </si>
  <si>
    <t>% C.I.</t>
  </si>
  <si>
    <t>Codi</t>
  </si>
  <si>
    <t>Tipus</t>
  </si>
  <si>
    <t>U</t>
  </si>
  <si>
    <t>Resum</t>
  </si>
  <si>
    <t>Quantitat</t>
  </si>
  <si>
    <t>Preu (€)</t>
  </si>
  <si>
    <t>Import (€)</t>
  </si>
  <si>
    <t>SANT ANTONI BC3</t>
  </si>
  <si>
    <t>Capítol</t>
  </si>
  <si>
    <t>PRODUCCIÓ TÈRMICA</t>
  </si>
  <si>
    <t>E45177CCR</t>
  </si>
  <si>
    <t>Partida</t>
  </si>
  <si>
    <t>Subministrament i instal.lació de càrrega de circuit amb un 30 %</t>
  </si>
  <si>
    <t>Subministrament i instal.lació de càrrega de circuit amb un 30 % del seu volum amb anticongelant del tipus propilenglicol</t>
  </si>
  <si>
    <t>Uts.</t>
  </si>
  <si>
    <t>Llargada</t>
  </si>
  <si>
    <t>Amplada</t>
  </si>
  <si>
    <t>Alçada</t>
  </si>
  <si>
    <t>Parcial</t>
  </si>
  <si>
    <t>Subtotal</t>
  </si>
  <si>
    <t>circuits tèrmics</t>
  </si>
  <si>
    <t>EESP01P2</t>
  </si>
  <si>
    <t>Proves hidrauliques colector</t>
  </si>
  <si>
    <t>Proves hidràuliques colector</t>
  </si>
  <si>
    <t>colector impulsió</t>
  </si>
  <si>
    <t>colector retorn</t>
  </si>
  <si>
    <t>ICS075h</t>
  </si>
  <si>
    <t>Vàlvula d'esfera de llautó niquelat per roscar de 2 1/2".</t>
  </si>
  <si>
    <t>Subministrament i instal·lació de vàlvula d'esfera de llautó niquelat per roscar de 2 1/2"; inclòs elements de muntatge i demés accessoris necessaris per al seu correcte funcionament. Totalment muntada, connexionada i provada.
Inclou: Replanteig. Col·locació de la vàlvula. Connexió de la vàlvula als tubs.
Criteri d'amidament de projecte: Nombre d'unitats previstes, segons documentació gràfica de Projecte.
Criteri de mesura d'obra: Es mesurarà el nombre d'unitats realment executades segons especificacions de Projecte.</t>
  </si>
  <si>
    <t>GRUP BOMBA B104</t>
  </si>
  <si>
    <t>mt37sve010h</t>
  </si>
  <si>
    <t>Material</t>
  </si>
  <si>
    <t>mt38www012</t>
  </si>
  <si>
    <t>Material auxiliar per a instal·lacions de calefacció i A.C.S.</t>
  </si>
  <si>
    <t>mo004</t>
  </si>
  <si>
    <t>Mà d'obra</t>
  </si>
  <si>
    <t>h</t>
  </si>
  <si>
    <t>Oficial 1ª calefactor.</t>
  </si>
  <si>
    <t>mo103</t>
  </si>
  <si>
    <t>Ajudant calefactor.</t>
  </si>
  <si>
    <t>%</t>
  </si>
  <si>
    <t>Costos directes complementaris</t>
  </si>
  <si>
    <t>IFT020</t>
  </si>
  <si>
    <t>Filtre de cartutx de tela filtrant, rosca de 2 1/2", cabal de 25 m³/h.</t>
  </si>
  <si>
    <t>Subministrament i instal·lació de filtre de cartutx format per cap, bas i cartutx de tela filtrant, rosca de 2 1/2", cabal de 25 m³/h. Inclòs elements de muntatge i demés accessoris necessaris per al seu correcte funcionament. Totalment muntat, connexionat i provat.
Inclou: Replanteig. Col·locació i fixació del filtre. Connexionat.
Criteri d'amidament de projecte: Nombre d'unitats previstes, segons documentació gràfica de Projecte.
Criteri de mesura d'obra: Es mesurarà el nombre d'unitats realment executades segons especificacions de Projecte.</t>
  </si>
  <si>
    <t>GRUP B104</t>
  </si>
  <si>
    <t>mt37eqt010Mg</t>
  </si>
  <si>
    <t>Filtre de cartutx format per cap, bas i cartutx de tela filtrant, rosca de 2 1/2", cabal de 25 m³/h.</t>
  </si>
  <si>
    <t>mt37www010</t>
  </si>
  <si>
    <t>Material auxiliar per a instal·lacions de lampisteria.</t>
  </si>
  <si>
    <t>mo008</t>
  </si>
  <si>
    <t>Oficial 1ª lampista.</t>
  </si>
  <si>
    <t>mo107</t>
  </si>
  <si>
    <t>Ajudant lampista.</t>
  </si>
  <si>
    <t>ICS075i</t>
  </si>
  <si>
    <t>Vàlvula d'esfera de llautó niquelat per roscar de 1".</t>
  </si>
  <si>
    <t>Subministrament i instal·lació de vàlvula d'esfera de llautó niquelat per roscar de 1"; inclòs elements de muntatge i demés accessoris necessaris per al seu correcte funcionament. Totalment muntada, connexionada i provada.
Inclou: Replanteig. Col·locació de la vàlvula. Connexió de la vàlvula als tubs.
Criteri d'amidament de projecte: Nombre d'unitats previstes, segons documentació gràfica de Projecte.
Criteri de mesura d'obra: Es mesurarà el nombre d'unitats realment executades segons especificacions de Projecte.</t>
  </si>
  <si>
    <t>AIXETA DE PURGAT B104</t>
  </si>
  <si>
    <t>mt37sve010d</t>
  </si>
  <si>
    <t>ICS075j</t>
  </si>
  <si>
    <t>Vàlvula de retenció de llautó per roscar de 2 1/2".</t>
  </si>
  <si>
    <t>Subministrament i instal·lació de vàlvula de retenció de llautó per roscar de 2 1/2"; inclòs elements de muntatge i demés accessoris necessaris per al seu correcte funcionament. Totalment muntada, connexionada i provada.
Inclou: Replanteig. Col·locació de la vàlvula. Connexió de la vàlvula als tubs.
Criteri d'amidament de projecte: Nombre d'unitats previstes, segons documentació gràfica de Projecte.
Criteri de mesura d'obra: Es mesurarà el nombre d'unitats realment executades segons especificacions de Projecte.</t>
  </si>
  <si>
    <t>BOMBA B104</t>
  </si>
  <si>
    <t>mt37svr010g</t>
  </si>
  <si>
    <t>IOT022</t>
  </si>
  <si>
    <t>Pressòstat de supervisió d'alta i baixa pressió amb dos contactes.</t>
  </si>
  <si>
    <t>Subministrament i instal·lació de pressòstat de supervisió d'alta i baixa pressió amb dos contactes NA/NC, rang de regulació de 0,7 a 12,1 bar, per a una pressió màxima de treball de 17,2 bar. Inclús tub protector i cables elèctrics.
Inclou: Replanteig i traçat de tubs. Col·locació i fixació de tubs. Col·locació de l'element. Estesa de cables. Muntatge, connexionat i comprovació del seu correcte funcionament.
Criteri d'amidament de projecte: Nombre d'unitats previstes, segons documentació gràfica de Projecte.
Criteri de mesura d'obra: Es mesurarà el nombre d'unitats realment executades segons especificacions de Projecte.</t>
  </si>
  <si>
    <t>mt41pag010a</t>
  </si>
  <si>
    <t>Pressòstat de supervisió d'alta i baixa pressió amb dos contactes NA/NC, rang de regulació de 0,7 a 12,1 bar, per a una pressió màxima de treball de 17,2 bar.</t>
  </si>
  <si>
    <t>mt35aia090ma</t>
  </si>
  <si>
    <t>Tub rígid de PVC, endollable, corbable en calent, de color negre, de 16 mm de diàmetre nominal, per a canalització fixa en superfície. Resistència a la compressió 1250 N, resistència a l'impacte 2 joules, temperatura de treball -5°C fins 60°C, amb grau de protecció IP 547 segons UNE 20324, propietats elèctriques: aïllant, no propagador de la flama. Segons UNE-EN 61386-1 i UNE-EN 61386-22. Inclús abraçadores, elements de subjecció i accessoris (corbes, maneguets, tes, colzes i corbes flexibles).</t>
  </si>
  <si>
    <t>mt35cun020a</t>
  </si>
  <si>
    <t>Cable unipolar ES07Z1-K (AS), no propagador de la flama, amb conductor multifilar de coure classe 5 (-K) de 1,5 mm² de secció, amb aïllament de compost termoplàstic a força de poliolefina lliure de halògens amb baixa emissió de fums i gasos corrosius (Z1), sent la seva tensió assignada de 450/750 V. Segons UNE 211025.</t>
  </si>
  <si>
    <t>mo003</t>
  </si>
  <si>
    <t>Oficial 1ª electricista.</t>
  </si>
  <si>
    <t>mo102</t>
  </si>
  <si>
    <t>Ajudant electricista.</t>
  </si>
  <si>
    <t>ICS075k</t>
  </si>
  <si>
    <t>Vàlvula d'equilibrat dinàmic de fosa de ferro GGG-40 amb juntes de EPDM, de 65 mm, connexions embridades, amb cartutx metàl·lic.</t>
  </si>
  <si>
    <t>Subministrament i instal·lació de vàlvula d'equilibrat dinàmic de fosa de ferro GGG-40 amb juntes d'EPDM, de 65 mm, connexions embridades, amb cartutx metàl·lic, PN25, rang de temperatura de -20 a 110°C, rang de pressió de 13 a 600 kPa, pèrdua de càrrega mínima de 13 kPa; inclòs elements de muntatge i demés accessoris necessaris per al seu correcte funcionament. Totalment muntada, connexionada i provada.
Inclou: Replanteig. Col·locació de la vàlvula. Connexió de la vàlvula als tubs.
Criteri d'amidament de projecte: Nombre d'unitats previstes, segons documentació gràfica de Projecte.
Criteri de mesura d'obra: Es mesurarà el nombre d'unitats realment executades segons especificacions de Projecte.</t>
  </si>
  <si>
    <t>mt37svq010n</t>
  </si>
  <si>
    <t>Vàlvula d'equilibrat dinàmic de fosa de ferro GGG-40 amb juntes de EPDM, de 65 mm, connexions embridades, amb cartutx metàl·lic, PN25, rang de temperatura de -20 a 110°C, rang de pressió de 13 a 600 kPa, pèrdua de càrrega mínima de 13 kPa.</t>
  </si>
  <si>
    <t>MAN003</t>
  </si>
  <si>
    <t>Maniguet de connexió antivibratori d'EPDM amb brides</t>
  </si>
  <si>
    <t>Maniguet de connexió antivibratori d'EPDM amb brides de diàmetre nomial 65 mm,cos de cautxú EPDM i reforçat amb niló,brides acer galvanitzat,pressió màx 10 bars</t>
  </si>
  <si>
    <t>ICS010j</t>
  </si>
  <si>
    <t>Canonada de distribució d'aigua calenta de climatització formada per tub multicapa de polipropilè copolímer random/alumini/polipropilè copolímer random (PP-R/Al/PP-R), de 75 mm de diàmetre exterior, PN=20 atm, col·locat superficialment en el interior de l'edifici, amb aïllament mitjançant camisa aïllant flexible d'escuma elastomèrica.</t>
  </si>
  <si>
    <t>Subministrament i instal·lació de canonada de distribució d'aigua calenta de climatització formada per tub multicapa de polipropilè copolímer random/alumini/polipropilè copolímer random (PP-R/Al/PP-R), de 75 mm de diàmetre exterior, PN=20 atm i 10,4 mm de gruix, col·locat superficialment en el interior de l'edifici, amb aïllament mitjançant camisa aïllant flexible d'escuma elastomèrica. Inclús p/p de material auxiliar per a muntatge i subjecció a l'obra, accessoris i peces especials. Totalment muntada, connexionada i provada per l'empresa instal·ladora mitjançant les corresponents proves de servei (incloses en aquest preu).
Inclou: Replanteig del recorregut de les canonades, accessoris i peces especials. Col·locació i fixació de canonades, accessoris i peces especials. Col·locació de l'aïllament. Realització de proves de servei.
Criteri d'amidament de projecte: Longitud mesurada segons documentació gràfica de Projecte.
Criteri de mesura d'obra: Es mesurarà la longitud realment executada segons especificacions de Projecte.</t>
  </si>
  <si>
    <t>TRAM SALA DE CALDERES FINS A INICI MUNTANT VERTICAL</t>
  </si>
  <si>
    <t>mt37toa401h</t>
  </si>
  <si>
    <t>Material auxiliar per a muntatge i subjecció a l'obra de les canonades multicapa de polipropilè copolímer random/alumini/polipropilè copolímer random (PP-R/Al/PP-R), de 75 mm de diàmetre exterior.</t>
  </si>
  <si>
    <t>mt37toa111he</t>
  </si>
  <si>
    <t>Tub multicapa de polipropilè copolímer random/alumini/polipropilè copolímer random (PP-R/Al/PP-R), de 75 mm de diàmetre exterior, PN=20 atm i 10,4 mm de gruix, segons UNE-EN ISO 15874-2, amb el preu incrementat el 20% en concepte d'accessoris i peces especials.</t>
  </si>
  <si>
    <t>mt17coe055ln</t>
  </si>
  <si>
    <t>Camisa aïllant d'escuma elastomèrica, amb un elevat factor de resistència a la difusió del vapor d'aigua, de 77 mm de diàmetre interior i 30 mm de gruix, a força de cautxú sintètic flexible, d'estructura cel·lular tancada.</t>
  </si>
  <si>
    <t>mt17coe110</t>
  </si>
  <si>
    <t>l</t>
  </si>
  <si>
    <t>Adhesiu per camisa aïllant elastomèrica.</t>
  </si>
  <si>
    <t>KGYU020</t>
  </si>
  <si>
    <t>Subministrament i muntatge de material elèctric necessari i accessoris instal.lació elèctrica</t>
  </si>
  <si>
    <t>Subministrament i muntatge de material elèctric necessari i accessoris instal.lació elèctrica per la sala de producció</t>
  </si>
  <si>
    <t>ENLBOMB102</t>
  </si>
  <si>
    <t>Subministrament i instal.lació de bomba acceleradora tipus MAGNA 1D 100-120</t>
  </si>
  <si>
    <t>Subministrament i instal.lació de bomba acceleradora tipus MAGNA 1D 100-120 de Grundfos o similar equivalent,de 5 m3/h a 28 m3/h amb pressi´´o i corva variable de treball dins dels llindars de projecte,inclou accessoris necessaris perl seu correcte funcionament.Unitat totalment instal.lada</t>
  </si>
  <si>
    <t>B102</t>
  </si>
  <si>
    <t>Maquinària</t>
  </si>
  <si>
    <t>Bomba MAGNA 1D 100-120</t>
  </si>
  <si>
    <t>mo005</t>
  </si>
  <si>
    <t>Oficial 1ª instal·lador de climatització.</t>
  </si>
  <si>
    <t>mo104</t>
  </si>
  <si>
    <t>Ajudant instal·lador de climatització.</t>
  </si>
  <si>
    <t>mt35cun040ab</t>
  </si>
  <si>
    <t>Cable unipolar H07V-K amb conductor multifilar de coure classe 5 (-K) de 2,5 mm² de secció, amb aïllament de PVC (V), sent la seva tensió assignada de 450/750 V. Segons UNE 21031-3.</t>
  </si>
  <si>
    <t>HYA010d</t>
  </si>
  <si>
    <t>m²</t>
  </si>
  <si>
    <t>Ajudes de paleta en edifici d'altres utilitats, per a instal·lació de calefacció.</t>
  </si>
  <si>
    <t>Repercussió per m² de superfície construïda d'obra, d'ajudes de qualsevol treball de ram de paleta, necessàries per a la correcta execució de l'instal·lació de calefacció formada per: canonades de distribució d'aigua, radiadors i qualsevol altre element component de l'instal·lació, amb un grau de complexitat alt, en edifici d'altres utilitats, inclosa p/p d'elements comuns. Inclús material auxiliar per a realitzar tots aquells treballs d'obertura i tapat de fregues, obertura de buits en envans, murs, sostres i lloses, per al pas d'instal·lacions, fixació de suports, rebuts i rematades precises per al correcte muntatge de la instal·lació.
Inclou: Treballs d'obertura i tapat de regates. Obertura de forats en paraments, murs, sostres i lloses, per al pas d'instal·lacions. Col·locació de passamurs. Col·locació i rebut de caixes per a elements encastats. Segellat de forats i buits de pas d'instal·lacions.
Criteri d'amidament de projecte: Superfície construïda, mesurada segons documentació gràfica de Projecte.
Criteri de mesura d'obra: Es mesurarà la superfície realment executada segons especificacions de Projecte.</t>
  </si>
  <si>
    <t>mt09pye010b</t>
  </si>
  <si>
    <t>m³</t>
  </si>
  <si>
    <t>Pasta de guix de construcció B1, segons UNE-EN 13279-1.</t>
  </si>
  <si>
    <t>mt08aaa010a</t>
  </si>
  <si>
    <t>Aigua.</t>
  </si>
  <si>
    <t>mt09mif010ia</t>
  </si>
  <si>
    <t>t</t>
  </si>
  <si>
    <t>Morter industrial per a obra de paleta, de ciment, color gris, amb additiu hidròfug, categoria M-5 (resistència a compressió 5 N/mm²), subministrat en sacs, segons UNE-EN 998-2.</t>
  </si>
  <si>
    <t>mq05per010</t>
  </si>
  <si>
    <t>Perforadora amb corona diamantada i suport, per via humida.</t>
  </si>
  <si>
    <t>mo020</t>
  </si>
  <si>
    <t>Oficial 1ª construcció.</t>
  </si>
  <si>
    <t>mo113</t>
  </si>
  <si>
    <t>Peó ordinari construcció.</t>
  </si>
  <si>
    <t>EEUTRANS01</t>
  </si>
  <si>
    <t>Transport de càrregues amb el cremallera</t>
  </si>
  <si>
    <t>LEG001</t>
  </si>
  <si>
    <t>Legalització i taxes</t>
  </si>
  <si>
    <t>INSTAL.LACIONS INTERIORS</t>
  </si>
  <si>
    <t>02.01</t>
  </si>
  <si>
    <t>Planta primera</t>
  </si>
  <si>
    <t>ICS010</t>
  </si>
  <si>
    <t>Canonada de distribució d'aigua calenta de climatització formada per tub multicapa de polietilè reticulat/alumini/polietilè reticulat d'alta densitat (PE-X/Al/PE-X), amb barrera d'oxigen, de 32 mm de diàmetre i 3 mm de gruix, col·locat superficialment en el interior de l'edifici, amb aïllament mitjançant camisa aïllant flexible d'escuma elastomèrica.</t>
  </si>
  <si>
    <t>Subministrament i instal·lació de canonada de distribució d'aigua calenta de climatització formada per tub multicapa de polietilè reticulat/alumini/polietilè reticulat d'alta densitat (PE-X/Al/PE-X), amb barrera d'oxigen, de 32 mm de diàmetre i 3 mm de gruix, temperatura màxima de funcionament 95°C, col·locat superficialment en el interior de l'edifici, amb aïllament mitjançant camisa aïllant flexible d'escuma elastomèrica. Inclús p/p de material auxiliar per a muntatge i subjecció a l'obra, accessoris i peces especials. Totalment muntada, connexionada i provada per l'empresa instal·ladora mitjançant les corresponents proves de servei (incloses en aquest preu).
Inclou: Replanteig del recorregut de les canonades, accessoris i peces especials. Col·locació i fixació de canonades, accessoris i peces especials. Col·locació de l'aïllament. Realització de proves de servei.
Criteri d'amidament de projecte: Longitud mesurada segons documentació gràfica de Projecte.
Criteri de mesura d'obra: Es mesurarà la longitud realment executada segons especificacions de Projecte.</t>
  </si>
  <si>
    <t>Distribució passadís Sant Antoni Sud</t>
  </si>
  <si>
    <t>mt37tco400gd</t>
  </si>
  <si>
    <t>Material auxiliar per a muntatge i subjecció a l'obra de les canonades multicapa de polietilè reticulat/alumini/polietilè reticulat d'alta densitat (PE-X/Al/PE-X), amb barrera d'oxigen, de 32 mm de diàmetre exterior.</t>
  </si>
  <si>
    <t>mt37tco010gde</t>
  </si>
  <si>
    <t>Tub multicapa de polietilè reticulat/alumini/polietilè reticulat d'alta densitat (PE-X/Al/PE-X), amb barrera d'oxigen, de 32 mm de diàmetre i 3 mm de gruix, temperatura màxima de funcionament 95°C, segons UNE-EN ISO 21003-1, amb el preu incrementat el 20% en concepte d'accessoris i peces especials.</t>
  </si>
  <si>
    <t>mt17coe055fj</t>
  </si>
  <si>
    <t>Camisa aïllant d'escuma elastomèrica, amb un elevat factor de resistència a la difusió del vapor d'aigua, de 36 mm de diàmetre interior i 27 mm de gruix, a força de cautxú sintètic flexible, d'estructura cel·lular tancada.</t>
  </si>
  <si>
    <t>ICS010b</t>
  </si>
  <si>
    <t>Canonada de distribució d'aigua calenta de climatització formada per tub multicapa de polietilè reticulat/alumini/polietilè reticulat d'alta densitat (PE-X/Al/PE-X), amb barrera d'oxigen, de 40 mm de diàmetre i 4 mm de gruix, col·locat superficialment en el interior de l'edifici, amb aïllament mitjançant camisa aïllant flexible d'escuma elastomèrica.</t>
  </si>
  <si>
    <t>Subministrament i instal·lació de canonada de distribució d'aigua calenta de climatització formada per tub multicapa de polietilè reticulat/alumini/polietilè reticulat d'alta densitat (PE-X/Al/PE-X), amb barrera d'oxigen, de 40 mm de diàmetre i 4 mm de gruix, temperatura màxima de funcionament 95°C, col·locat superficialment en el interior de l'edifici, amb aïllament mitjançant camisa aïllant flexible d'escuma elastomèrica. Inclús p/p de material auxiliar per a muntatge i subjecció a l'obra, accessoris i peces especials. Totalment muntada, connexionada i provada per l'empresa instal·ladora mitjançant les corresponents proves de servei (incloses en aquest preu).
Inclou: Replanteig del recorregut de les canonades, accessoris i peces especials. Col·locació i fixació de canonades, accessoris i peces especials. Col·locació de l'aïllament. Realització de proves de servei.
Criteri d'amidament de projecte: Longitud mesurada segons documentació gràfica de Projecte.
Criteri de mesura d'obra: Es mesurarà la longitud realment executada segons especificacions de Projecte.</t>
  </si>
  <si>
    <t>Distribució passadis Sant Antoni Zona Nord</t>
  </si>
  <si>
    <t>mt37tco400he</t>
  </si>
  <si>
    <t>Material auxiliar per a muntatge i subjecció a l'obra de les canonades multicapa de polietilè reticulat/alumini/polietilè reticulat d'alta densitat (PE-X/Al/PE-X), amb barrera d'oxigen, de 40 mm de diàmetre exterior.</t>
  </si>
  <si>
    <t>mt37tco010hee</t>
  </si>
  <si>
    <t>Tub multicapa de polietilè reticulat/alumini/polietilè reticulat d'alta densitat (PE-X/Al/PE-X), amb barrera d'oxigen, de 40 mm de diàmetre i 4 mm de gruix, temperatura màxima de funcionament 95°C, segons UNE-EN ISO 21003-1, amb el preu incrementat el 20% en concepte d'accessoris i peces especials.</t>
  </si>
  <si>
    <t>mt17coe055gt</t>
  </si>
  <si>
    <t>Camisa aïllant d'escuma elastomèrica, amb un elevat factor de resistència a la difusió del vapor d'aigua, de 43,5 mm de diàmetre interior i 36,5 mm de gruix, a força de cautxú sintètic flexible, d'estructura cel·lular tancada.</t>
  </si>
  <si>
    <t>ICS075c</t>
  </si>
  <si>
    <t>Vàlvula d'esfera de llautó niquelat per roscar de 1 1/2".</t>
  </si>
  <si>
    <t>Subministrament i instal·lació de vàlvula d'esfera de llautó niquelat per roscar de 1 1/2"; inclòs elements de muntatge i demés accessoris necessaris per al seu correcte funcionament. Totalment muntada, connexionada i provada.
Inclou: Replanteig. Col·locació de la vàlvula. Connexió de la vàlvula als tubs.
Criteri d'amidament de projecte: Nombre d'unitats previstes, segons documentació gràfica de Projecte.
Criteri de mesura d'obra: Es mesurarà el nombre d'unitats realment executades segons especificacions de Projecte.</t>
  </si>
  <si>
    <t>VALVULA DE ZONA SANT ANTONI SUD</t>
  </si>
  <si>
    <t>VALVULA DE ZONA SANT ANTONI NORD</t>
  </si>
  <si>
    <t>mt37sve010f</t>
  </si>
  <si>
    <t>COLEC01</t>
  </si>
  <si>
    <t>Colector planta</t>
  </si>
  <si>
    <t>Colector planta primera zona nord.Tall de dos circuits Sud i Nord</t>
  </si>
  <si>
    <t>colector zona Sant Antoni</t>
  </si>
  <si>
    <t>ENLBOMB303</t>
  </si>
  <si>
    <t>Subministrament i instal.lació bomba doble acceleradora MAGNA 32-80 F</t>
  </si>
  <si>
    <t>Subministrament i instal.lació bomba doble acceleradora</t>
  </si>
  <si>
    <t>BC11N</t>
  </si>
  <si>
    <t>BC11S</t>
  </si>
  <si>
    <t>BOMBA300</t>
  </si>
  <si>
    <t>Bomba acceleradora MAGNA 32-80 F</t>
  </si>
  <si>
    <t>HYA010c</t>
  </si>
  <si>
    <t>REC012</t>
  </si>
  <si>
    <t>Reconstrucció armari de colectors</t>
  </si>
  <si>
    <t>NAA010f</t>
  </si>
  <si>
    <t>Aïllament tèrmic de canonades en instal·lació interior de calefacció, col·locada superficialment, per la distribució de fluids calents (de +40°C a +60°C), format per camisa aïllant d'escuma elastomèrica, de 43,5 mm de diàmetre interior i 30 mm de gruix.</t>
  </si>
  <si>
    <t>Subministrament i col·locació d'aïllament tèrmic de canonada en instal·lació interior de calefacció, col·locada superficialment, per la distribució de fluids calents (de +40°C a +60°C), format per camisa aïllant d'escuma elastomèrica, de 43,5 mm de diàmetre interior i 30 mm de gruix, a força de cautxú sintètic flexible, d'estructura cel·lular tancada, amb adhesiu per a les unions. Inclús p/p de preparació de la superfície suport, replanteig i talls.
Inclou: Preparació de la superfície de les canonades. Replanteig i tall de l'aïllament. Col·locació de l'aïllament.
Criteri d'amidament de projecte: Longitud mesurada segons documentació gràfica de Projecte.
Criteri de mesura d'obra: Es mesurarà la longitud realment executada segons especificacions de Projecte.</t>
  </si>
  <si>
    <t>mt17coe070je</t>
  </si>
  <si>
    <t>Camisa aïllant d'escuma elastomèrica, de 43,5 mm de diàmetre interior i 30 mm de gruix, a força de cautxú sintètic flexible, d'estructura cel·lular tancada.</t>
  </si>
  <si>
    <t>mo054</t>
  </si>
  <si>
    <t>Oficial 1ª muntador d'aïllaments.</t>
  </si>
  <si>
    <t>mo101</t>
  </si>
  <si>
    <t>Ajudant muntador d'aïllaments.</t>
  </si>
  <si>
    <t>NAA010h</t>
  </si>
  <si>
    <t>Aïllament tèrmic de canonades en instal·lació interior de calefacció, col·locada superficialment, per la distribució de fluids calents (de +40°C a +60°C), format per camisa aïllant d'escuma elastomèrica, de 36 mm de diàmetre interior i 25 mm de gruix.</t>
  </si>
  <si>
    <t>Subministrament i col·locació d'aïllament tèrmic de canonada en instal·lació interior de calefacció, col·locada superficialment, per la distribució de fluids calents (de +40°C a +60°C), format per camisa aïllant d'escuma elastomèrica, de 36 mm de diàmetre interior i 25 mm de gruix, a força de cautxú sintètic flexible, d'estructura cel·lular tancada, amb adhesiu per a les unions. Inclús p/p de preparació de la superfície suport, replanteig i talls.
Inclou: Preparació de la superfície de les canonades. Replanteig i tall de l'aïllament. Col·locació de l'aïllament.
Criteri d'amidament de projecte: Longitud mesurada segons documentació gràfica de Projecte.
Criteri de mesura d'obra: Es mesurarà la longitud realment executada segons especificacions de Projecte.</t>
  </si>
  <si>
    <t>mt17coe070id</t>
  </si>
  <si>
    <t>Camisa aïllant d'escuma elastomèrica, de 36 mm de diàmetre interior i 25 mm de gruix, a força de cautxú sintètic flexible, d'estructura cel·lular tancada.</t>
  </si>
  <si>
    <t>CAIXVA01</t>
  </si>
  <si>
    <t>Caixa de Vàlvules ( IMP/RET )</t>
  </si>
  <si>
    <t>Caixa de vàlvules d'impulsió i retorn</t>
  </si>
  <si>
    <t>CAIX01</t>
  </si>
  <si>
    <t>Caixa de 2 vàlvules pilotades</t>
  </si>
  <si>
    <t>PET05</t>
  </si>
  <si>
    <t>Petit material per fer la connexió de les instal.alcions habitacio</t>
  </si>
  <si>
    <t>AUX05</t>
  </si>
  <si>
    <t>Partida auxiliar per desviar instal.alcions no previstes</t>
  </si>
  <si>
    <t>Partida auxiliar per desviar instal.lacions no previstes en celras</t>
  </si>
  <si>
    <t>FANJAG01</t>
  </si>
  <si>
    <t>Fancoil Brise 06 de Jaga de peu en color escollir</t>
  </si>
  <si>
    <t>Fancoil de peu JAGA en color a escollir</t>
  </si>
  <si>
    <t>FANBRISE06</t>
  </si>
  <si>
    <t>Fancoil Brise de Jaga 06 en color de coberta a escollir</t>
  </si>
  <si>
    <t>TERM015</t>
  </si>
  <si>
    <t>Termostat per a fancoil,control vàlvula, i control de temperatura digital</t>
  </si>
  <si>
    <t>Termostat per a fancoil,control vàlvula,3 v i control de temperatura digital</t>
  </si>
  <si>
    <t>TERM03</t>
  </si>
  <si>
    <t>Termostat per habitació fancoil</t>
  </si>
  <si>
    <t>IEX105</t>
  </si>
  <si>
    <t>Contactor, de 1 mòdul, contactes 1NO+1NT, intensitat nominal 20 A, tensió de bobina 230 V. ( A instal.lar dins de caixa de vàlvules )</t>
  </si>
  <si>
    <t>Subministrament i instal·lació de contactor, de 1 mòdul, contactes 1NO+1NT, intensitat nominal 20 A, tensió de bobina 230 V, de 18x85x65,5 mm, grau de protecció IP 20, muntatge sobre carril DIN (35 mm) i fixació a carril mitjançant grapes. Totalment muntat, connexionat i provat.
Inclou: Muntatge i connexionat de l'element.
Criteri d'amidament de projecte: Nombre d'unitats previstes, segons documentació gràfica de Projecte.
Criteri de mesura d'obra: Es mesurarà el nombre d'unitats realment executades segons especificacions de Projecte.</t>
  </si>
  <si>
    <t>mt35amc450bb</t>
  </si>
  <si>
    <t>Contactor, de 1 mòdul, contactes 1NO+1NT, intensitat nominal 20 A, tensió de bobina 230 V, de 18x85x65,5 mm, grau de protecció IP 20, muntatge sobre carril DIN (35 mm) i fixació a carril mitjançant grapes, segons UNE-EN 61095.</t>
  </si>
  <si>
    <t>KGYU030</t>
  </si>
  <si>
    <t>Cablejat i connexionat elements elèctrics</t>
  </si>
  <si>
    <t>Cablejat i connexinat elements electrics,fancoil,valvuleria,termostat,part de potència i maniobra</t>
  </si>
  <si>
    <t>02.02</t>
  </si>
  <si>
    <t>Planta segona</t>
  </si>
  <si>
    <t>ICS010e</t>
  </si>
  <si>
    <t>ICS010f</t>
  </si>
  <si>
    <t>ICS075f</t>
  </si>
  <si>
    <t>BC22N</t>
  </si>
  <si>
    <t>BC22S</t>
  </si>
  <si>
    <t>HYA010b</t>
  </si>
  <si>
    <t>NAA010g</t>
  </si>
  <si>
    <t>NAA010i</t>
  </si>
  <si>
    <t>IEX105b</t>
  </si>
  <si>
    <t>02.03</t>
  </si>
  <si>
    <t>Planta tercera</t>
  </si>
  <si>
    <t>ICS010i</t>
  </si>
  <si>
    <t>Distribució passadis tercera Zona Nord</t>
  </si>
  <si>
    <t>Distribucio passadis tercera Zona Sud</t>
  </si>
  <si>
    <t>NAA010e</t>
  </si>
  <si>
    <t>Distribució planta tercera</t>
  </si>
  <si>
    <t>ICS075g</t>
  </si>
  <si>
    <t>BC23N</t>
  </si>
  <si>
    <t>BC23S</t>
  </si>
  <si>
    <t>HYA010</t>
  </si>
  <si>
    <t>IEX105c</t>
  </si>
  <si>
    <t>02.05</t>
  </si>
  <si>
    <t>Recol.locació instal.lacions</t>
  </si>
  <si>
    <t>RECOLDET01</t>
  </si>
  <si>
    <t>Recol.locació detectors incendis</t>
  </si>
  <si>
    <t>Protecció i desmuntatge de detectors d'incendis de les habitacions i pasadissos de les plantes 1ª i 2ª</t>
  </si>
  <si>
    <t>HABITACIONS</t>
  </si>
  <si>
    <t>PASSADISSOS</t>
  </si>
  <si>
    <t>Petmaterial</t>
  </si>
  <si>
    <t>Petit material</t>
  </si>
  <si>
    <t>RECOLRUIX01</t>
  </si>
  <si>
    <t>Recolocació ruixadors sostre</t>
  </si>
  <si>
    <t>Recol.locació de ruixadors en sostres d'habitacions i passadissos</t>
  </si>
  <si>
    <t>PETITRUIX01</t>
  </si>
  <si>
    <t>Material de connexió per recolocar ruixadors</t>
  </si>
  <si>
    <t>PROVRUIX01</t>
  </si>
  <si>
    <t>pa</t>
  </si>
  <si>
    <t>Realització de prova hidràulica de funcionament</t>
  </si>
  <si>
    <t>IOJ003</t>
  </si>
  <si>
    <t>Subministrament i instal·lació de sistema de segellat de pas de cables amb aïllament, de diàmetre exterior menor o igual de 21 mm, en mur, de 100 mm d'espessor, a través d'una obertura de 100 mm d'amplada i 100 mm d'altura, per a protecció passiva contra incendis i garantir la resistència al foc EI 120, format per material de reomplert de nòduls de llana de roca, de 45 kg/m³ de densitat, recobert per ambdues cares per una capa de 25 mm d'espessor de massilla intumescent amb propietats ignífugues, color gris antracita.</t>
  </si>
  <si>
    <t>Subministrament i instal·lació de sistema de segellat de pas de cables amb aïllament, de diàmetre exterior menor o igual de 21 mm, en mur, de 100 mm d'espessor, a través d'una obertura de 100 mm d'amplada i 100 mm d'altura, per a protecció passiva contra incendis i garantir la resistència al foc EI 120, format per material de reomplert de nòduls de llana de roca, de 45 kg/m³ de densitat, recobert per ambdues cares per una capa de 25 mm d'espessor de massilla intumescent amb propietats ignífugues, color gris antracita.
Inclou: Neteja i preparació del parament. Inserció del material de reomplert. Aplicació del segellador. Allisat amb espàtula. Neteja final.
Criteri d'amidament de projecte: Nombre d'unitats previstes, segons documentació gràfica de Projecte.
Criteri de mesura d'obra: Es mesurarà el nombre d'unitats realment executades segons especificacions de Projecte.</t>
  </si>
  <si>
    <t>mt16lra011a</t>
  </si>
  <si>
    <t>kg</t>
  </si>
  <si>
    <t>Nòduls de llana de roca, de 45 kg/m³ de densitat, per a reompliment de clivelles i junts.</t>
  </si>
  <si>
    <t>mt41phi040a</t>
  </si>
  <si>
    <t>Cartutx de 310 ml de massilla intumescent amb propietats ignífugues, color gris antracita, per a segellat de junts i obertures.</t>
  </si>
  <si>
    <t>RTF005</t>
  </si>
  <si>
    <t>Fals sostre registrable de panells de llana de roca.</t>
  </si>
  <si>
    <t>Fals sostre registrable suspès, situat a una altura menor de 4 m, constituït per: ESTRUCTURA: perfileria vista T 24, amb sola de 24 mm d'amplària, d'acer galvanitzat, color blanc, comprenent perfils primaris i secundaris, suspesos del forjat o element suport amb varetes i penjants; PANELLS: panells acústics autoportantes de llana de roca, compostos per mòduls de 600x600x15 mm, acabat llis color blanc amb cantell recte. Inclús perfils angulars, fixacions per a l'ancoratge dels perfils i accessoris de muntatge.
Inclou: Replanteig dels eixos de la trama modular. Anivellació i col·fixació dels perfils perimetrals. Replanteig dels perfils primaris de la trama. Senyalització dels punts d'ancoratge al sostre. Anivellació i suspensió dels perfils primaris i secundaris de la trama. Tall dels panells. Col·locació dels panells. Resolució de trobades i punts singulars.
Criteri d'amidament de projecte: Superfície mesurada entre paraments, segons documentació gràfica de Projecte, sense descomptar buits per instal·lacions.
Criteri de mesura d'obra: Es mesurarà la superfície realment executada segons especificacions de Projecte, sense descomptar buits per instal·lacions.</t>
  </si>
  <si>
    <t>mt16pag010a</t>
  </si>
  <si>
    <t>Panell acústic autoportant de llana mineral, de resistència tèrmica 0,4 m²K/W, Euroclasse A1 de reacció al foc segons UNE-EN 13501-1, compost per mòduls de 600x600x15 mm, acabat llis color blanc amb cantell recte per a perfileria vista T 24.</t>
  </si>
  <si>
    <t>mt12fpg040ij</t>
  </si>
  <si>
    <t>Perfil primari T 24 24x38x3700 mm, color blanc, d'acer galvanitzat, segons UNE-EN 13964.</t>
  </si>
  <si>
    <t>mt12fpg040la</t>
  </si>
  <si>
    <t>Perfil secundari T 24 24x38x600 mm, color blanc, d'acer galvanitzat, segons UNE-EN 13964.</t>
  </si>
  <si>
    <t>mt12fpg030hk</t>
  </si>
  <si>
    <t>Perfil angular 24/24/3000 mm, color blanc, d'acer galvanitzat, segons UNE-EN 13964.</t>
  </si>
  <si>
    <t>mt12fac020b</t>
  </si>
  <si>
    <t>Barra metàl·lica d'acer galvanitzat de 6 mm de diàmetre.</t>
  </si>
  <si>
    <t>mt12fac050</t>
  </si>
  <si>
    <t>Accessoris per a la instal·lació de falsos sostres registrables.</t>
  </si>
  <si>
    <t>mo015</t>
  </si>
  <si>
    <t>Oficial 1ª muntador de falsos sostres.</t>
  </si>
  <si>
    <t>mo082</t>
  </si>
  <si>
    <t>Ajudant muntador de falsos sostres.</t>
  </si>
  <si>
    <t>CONTROL INSTAL.LACIONS</t>
  </si>
  <si>
    <t>04.01</t>
  </si>
  <si>
    <t>Quadres i estacions</t>
  </si>
  <si>
    <t>EEV32576</t>
  </si>
  <si>
    <t>Estació autònoma compacte EY-RC311F001 BACnet MS/TP de</t>
  </si>
  <si>
    <t>Controlador lliurement programable ecosS311 amb capacitat de regulació i control autònom, connexió a bus BACnet MS/TP. Disposa de 16 punts d'entrada/sortida. Connexió de bus per 1 sonda EY-RU i 2 mòduls de camp ecoLink addicionals. Amb funcions d'horari, calendari. Alimentació a 220V</t>
  </si>
  <si>
    <t>BEV32576</t>
  </si>
  <si>
    <t>Estació autònoma compacte EY-RC311F001 BACnet MS/TP de SAUTER</t>
  </si>
  <si>
    <t>EEV21267</t>
  </si>
  <si>
    <t>Sonda de temperatura ambient model EY-RU344F001</t>
  </si>
  <si>
    <t>Sonda de temperatura ambient EcoUnit344 model EY-RU344F001 per control local amb pantalla LCD per Ecos5, amb sonda de temperatura NTC, ajustament de consigna i dos botons, sense marc. Alimentació des de estació ecos5.</t>
  </si>
  <si>
    <t>BEV21267</t>
  </si>
  <si>
    <t>Sonda de temperatura ambient model EY-RU344F001 de SAUTER</t>
  </si>
  <si>
    <t>EEVZ1002</t>
  </si>
  <si>
    <t>Cofret de control per una EY-RC</t>
  </si>
  <si>
    <t>Cofret Himel o similar per a una estació EY-RC compost per: cofret de polyester aïllant, borns i elements protecció. Totalment cablejat.</t>
  </si>
  <si>
    <t>BEVZ1002</t>
  </si>
  <si>
    <t>UN</t>
  </si>
  <si>
    <t>EEV21D15</t>
  </si>
  <si>
    <t>Marc individual per a sonda control local 0940240102A</t>
  </si>
  <si>
    <t>Marc individual ref. 0940240101A de SAUTER per a sonda ambient de control local. Color blanc, de plàstic (fondària 10 mm) i  placa metàl·lica per a fixació a caixa d'empotrar. 1 unitat.</t>
  </si>
  <si>
    <t>BEV21D15</t>
  </si>
  <si>
    <t>Marc individual per a sonda control local 0940240102A de SAUTER</t>
  </si>
  <si>
    <t>EEV21D26</t>
  </si>
  <si>
    <t>Placa metàl·lica 0940240703A per a marc sonda</t>
  </si>
  <si>
    <t>Placa metàl·lica ref. 0940240703A individual per fixació a caixa d'empotrar 1 unitat.</t>
  </si>
  <si>
    <t>BEV21D26</t>
  </si>
  <si>
    <t>Placa metàl·lica 0940240703A per a marc sonda de SAUTER</t>
  </si>
  <si>
    <t>EN720002</t>
  </si>
  <si>
    <t>Vàlvula 2 vies de bola VKAI025F300</t>
  </si>
  <si>
    <t>Vàlvula de bola 2 vies tot/res model VKAI015F300 DN 15, Kvs 15 m3/h, PN 40. Motorizable amb la gamma de servomotores de rotació a 90º AKM. Connexió a procés rosca ISO 7/1 Rp 1/2" femella. Coeficient de fuita 0,0001% del Kvs. Temperatura de procés de -10 a 130 ºC.
.</t>
  </si>
  <si>
    <t>BN720002</t>
  </si>
  <si>
    <t>Vàlvula 2 vies VKAI015F300 de SAUTER</t>
  </si>
  <si>
    <t>EEV3A602</t>
  </si>
  <si>
    <t>Servomotor AKM115F122</t>
  </si>
  <si>
    <t>Servomotor rotatiu model AKM115F122 er vàlvules de bola VKR/BKR. Acoblament directe sense eines. Bloc d'engranatges lliure de manteniment. Embragatge magnètic amb funció shut-off transcurreguts 3 min. sense que es modifiqui la senyal de comandament. Alimentació 24V</t>
  </si>
  <si>
    <t>BEV3A602</t>
  </si>
  <si>
    <t>Servomotor AKM115F122 de SAUTER</t>
  </si>
  <si>
    <t>EN729007</t>
  </si>
  <si>
    <t>Vàlvula 2 vies -VUL015F300</t>
  </si>
  <si>
    <t>Vàlvula de 2 vies roscada, model VUL015F300 , DN15, PN16, Kvs=4 m3/h, cos fundició llautó, característica equipercentual  Tª màx=120ºC. Cursa 4 mm. Inclou racors ref.  0378133015.</t>
  </si>
  <si>
    <t>BN729007</t>
  </si>
  <si>
    <t>Vàlvula 2 vies -VUL015F300 de SAUTER</t>
  </si>
  <si>
    <t>EEV3S040</t>
  </si>
  <si>
    <t>Servomotor AXT211F112</t>
  </si>
  <si>
    <t>Actuador tèrmic model AXT211F112 , per a vàlvules de 2/3 vies per d'unitats terminals. Connexió M30. Força 125N. Temps de recorregut 3'. Alimentació 24V</t>
  </si>
  <si>
    <t>BEV3S040</t>
  </si>
  <si>
    <t>Servomotor AXT211F112 de SAUTER</t>
  </si>
  <si>
    <t>EN729006</t>
  </si>
  <si>
    <t>Vàlvula 2 vies -VUL015F310</t>
  </si>
  <si>
    <t>Vàlvula de 2 vies roscada, model VUL015F310 , DN15, PN16, Kvs=2.5 m3/h, cos fundició llautó, característica equipercentual. Tª màx=120ºC. Cursa 4 mm. Inclou racors ref.  0378133015.</t>
  </si>
  <si>
    <t>IAF070b</t>
  </si>
  <si>
    <t>Subministrament i instal·lació de cable de 2 parells (2x2x0,51 mm), reacció al foc classe Dca-s2,d2,a2, amb conductor unifilar de coure, aïllament de polietilè i beina exterior lliure de halògens amb baixa emissió de fums i gasos corrosius de 4 mm de diàmetre de color verd. Inclús accessoris i elements de subjecció.</t>
  </si>
  <si>
    <t>Subministrament i instal·lació de cable de 2 parells (2x2x0,51 mm), reacció al foc classe Dca-s2,d2,a2, amb conductor unifilar de coure, aïllament de polietilè i beina exterior lliure de halògens amb baixa emissió de fums i gasos corrosius de 4 mm de diàmetre de color verd. Inclús accessoris i elements de subjecció.
Inclou: Estesa de cables.
Criteri d'amidament de projecte: Longitud mesurada segons documentació gràfica de Projecte.
Criteri de mesura d'obra: Es mesurarà la longitud realment executada segons especificacions de Projecte.</t>
  </si>
  <si>
    <t>Cablejat de dades</t>
  </si>
  <si>
    <t>mt40mto110b</t>
  </si>
  <si>
    <t>Cable de 2 parells (2x2x0,51 mm), reacció al foc classe Dca-s2,d2,a2 segons UNE-EN 50575, amb conductor unifilar de coure, aïllament de polietilè i beina exterior lliure de halògens amb baixa emissió de fums i gasos corrosius de 4 mm de diàmetre de color verd.</t>
  </si>
  <si>
    <t>mo001</t>
  </si>
  <si>
    <t>Oficial 1ª instal·lador de telecomunicacions.</t>
  </si>
  <si>
    <t>mo056</t>
  </si>
  <si>
    <t>Ajudant instal·lador de telecomunicacions.</t>
  </si>
  <si>
    <t>IEH010b</t>
  </si>
  <si>
    <t>Cable multipolar H07ZZ-F (AS), sent la seva tensió assignada de 450/750 V, reacció al foc classe Cca-s1b,d1,a1, amb conductor de coure classe 5 (-F) de 3G1,5 mm² de secció, amb aïllament de compost reticulat a base de poliolefina lliure de halògens (Z) i coberta de compost reticulat a base de poliolefina lliure de halògens (Z).</t>
  </si>
  <si>
    <t>Subministrament i instal·lació de cable multipolar H07ZZ-F (AS), sent la seva tensió assignada de 450/750 V, reacció al foc classe Cca-s1b,d1,a1, amb conductor de coure classe 5 (-F) de 3G1,5 mm² de secció, amb aïllament de compost reticulat a base de poliolefina lliure de halògens (Z) i coberta de compost reticulat a base de poliolefina lliure de halògens (Z). Fins i tot p/p d'accessoris i elements de subjecció. Totalment muntat, connexionat i provat.
Inclou: Estesa del cable. Connexionat.
Criteri d'amidament de projecte: Longitud mesurada segons documentació gràfica de Projecte.
Criteri de mesura d'obra: Es mesurarà la longitud realment executada segons especificacions de Projecte.</t>
  </si>
  <si>
    <t>Cablejat de dades i sistema de control</t>
  </si>
  <si>
    <t>mt35cun090c</t>
  </si>
  <si>
    <t>Cable multipolar H07ZZ-F (AS), sent la seva tensió assignada de 450/750 V, reacció al foc classe Cca-s1b,d1,a1 segons UNE-EN 50575, amb conductor de coure classe 5 (-F) de 3G1,5 mm² de secció, amb aïllament de compost reticulat a base de poliolefina lliure de halògens (Z) i coberta de compost reticulat a base de poliolefina lliure de halògens (Z). Segons UNE-EN 50525-3-21.</t>
  </si>
  <si>
    <t>EEVZ1K14</t>
  </si>
  <si>
    <t>Quadre de control SIB-CE652 COL·LECTORS ZONA SANT ANTONI</t>
  </si>
  <si>
    <t>Quadre elèctric per a estació/ns de control compost per: armari metálic Himel o similar, amb els elements necessaris tals com: transformador 220/24Vca , base endoll, bornes i elements de protecció. Totalment cablejat a bornes.</t>
  </si>
  <si>
    <t>BEVZ1K14</t>
  </si>
  <si>
    <t>EEVGM053</t>
  </si>
  <si>
    <t>Comptador energia AC Qp 25m3/h S23HHE90250TP1PO de</t>
  </si>
  <si>
    <t>Comptador de energia MECÀNIC woltmann PN16 SIBH025090G per a calefacció amb calculador electrònic S2-H i sortida per polsos amb les següents característiques: alimentació 230VAC; DN65 ; Qp 25 m3/h ; 200mm ; tornada ; 100 l/p ; MWh ; 90ºC; Funda SIBTP120I inclosa
.</t>
  </si>
  <si>
    <t>BEVGM053</t>
  </si>
  <si>
    <t>Comptador energia AC Qp 25m3/h S23HHE90250TP1PO de SAUTER</t>
  </si>
  <si>
    <t>IAF070</t>
  </si>
  <si>
    <t>IEH010</t>
  </si>
  <si>
    <t>IEM117</t>
  </si>
  <si>
    <t>Presa simple, RJ-45 categoria 5e U/UTP, antivandàlica, amb graus de protecció IP 40 i IK 07, gamma mitja, amb tapa, de color blanc i marc embellidor per a un element, de color blanc, encastada.</t>
  </si>
  <si>
    <t>Subministrament i instal·lació de presa simple, RJ-45 categoria 5e U/UTP, antivandàlica, amb graus de protecció IP 40 i IK 07, gamma mitja, amb tapa, de color blanc i marc embellidor per a un element, de color blanc, encastada, sense incloure la caixa de mecanisme. Totalment muntada, connexionada i provada.
Inclou: Connexionat i muntatge de l'element.
Criteri d'amidament de projecte: Nombre d'unitats previstes, segons documentació gràfica de Projecte.
Criteri de mesura d'obra: Es mesurarà el nombre d'unitats realment executades segons especificacions de Projecte.</t>
  </si>
  <si>
    <t>QUADRE SANT ANTONI</t>
  </si>
  <si>
    <t>mt33gmg710a</t>
  </si>
  <si>
    <t>Presa simple, RJ-45 categoria 5e U/UTP, antivandàlica, amb graus de protecció IP 40 i IK 07, segons IEC 60439, per a encastar, gamma mitja.</t>
  </si>
  <si>
    <t>mt33gmg715a</t>
  </si>
  <si>
    <t>Tapa antivandàlica, amb graus de protecció IP 40 i IK 07, segons IEC 60439 per a presa simple, gamma mitja, de color blanc.</t>
  </si>
  <si>
    <t>mt33gmg960a</t>
  </si>
  <si>
    <t>Marc embellidor antivandàlic, amb graus de protecció IP 40 i IK 07, segons IEC 60439, per a un element, gamma mitja, de color blanc.</t>
  </si>
  <si>
    <t>IBY505</t>
  </si>
  <si>
    <t>Subministrament i instal·lació de cable bus de comunicacions, de mànega sense apantallar, de 2 fils, de 1 mm² de secció per fil, sense polaritat.</t>
  </si>
  <si>
    <t>Subministrament i instal·lació de cable bus de comunicacions, de mànega sense apantallar, de 2 fils, de 1 mm² de secció per fil, sense polaritat.
Inclou: Estesa del cable. Connexionat.
Criteri d'amidament de projecte: Longitud mesurada segons documentació gràfica de Projecte.
Criteri de mesura d'obra: Es mesurarà la longitud realment executada segons especificacions de Projecte.
Criteri de valoració econòmica: El preu no inclou la canalització.</t>
  </si>
  <si>
    <t>Cablejat dades quadres</t>
  </si>
  <si>
    <t>mt42dai750a</t>
  </si>
  <si>
    <t>Cable bus de comunicacions, de mànega sense apantallar, de 2 fils, de 1 mm² de secció per fil, sense polaritat.</t>
  </si>
  <si>
    <t>Pressupost projectede reforma interior de la distribució tèrmica de les instal.lacions de l'edifici de Sant Gil de l'Hotel de Vall de Nuria</t>
  </si>
  <si>
    <t>PRESSUPOST SANT GIL BC3</t>
  </si>
  <si>
    <t>MODIFCOL04</t>
  </si>
  <si>
    <t>Modificació col.lectors d'impulsió i de retorn principals sala de calderes</t>
  </si>
  <si>
    <t>Modificació dels col.lectors d'impulsió i de retorn de la sala de calderes principal.
-Connexió nou circuit ala de Sant Antoni D 2 1/2"
-Modificació circuits Nord i Sud,entroncs,aixeteria necessaria 2 1/2" i elements excepte bomba 
-Folrat de tuberies existents i nous circuits fins a sortida de sala de calderes actual
-Previsió de col.locació de dues aixetes suplementaries per a connexions futures</t>
  </si>
  <si>
    <t>ICS040</t>
  </si>
  <si>
    <t>Got d'expansió tancat amb una capacitat de 400 l.</t>
  </si>
  <si>
    <t>Subministrament i instal·lació de got d'expansió tancat amb una capacitat de 400 l, 1980 mm d'altura, 485 mm de diàmetre, amb rosca de 1 1/2" de diàmetre i 10 bar de pressió, inclòs manòmetre i elements de muntatge i connexió necessaris per al seu correcte funcionament. Totalment muntat, connexionat i provat.
Inclou: Replanteig del vas d'expansió. Col·locació del vas d'expansió. Connexió del vas d'expansió a la xarxa de distribució.
Criteri d'amidament de projecte: Nombre d'unitats previstes, segons documentació gràfica de Projecte.
Criteri de mesura d'obra: Es mesurarà el nombre d'unitats realment executades segons especificacions de Projecte.</t>
  </si>
  <si>
    <t>expansió sistema de calefacció</t>
  </si>
  <si>
    <t>mt38vex010u</t>
  </si>
  <si>
    <t>Got d'expansió tancat amb una capacitat de 400 l, 1980 mm d'altura, 485 mm de diàmetre, amb rosca de 1 1/2" de diàmetre i 10 bar de pressió.</t>
  </si>
  <si>
    <t>mt42www040</t>
  </si>
  <si>
    <t>Manòmetre amb bany de glicerina i diàmetre d'esfera de 100 mm, amb presa vertical, per a muntatge roscat de 1/2", escala de pressió de 0 a 5 bar.</t>
  </si>
  <si>
    <t>GRUP BOMBA B102</t>
  </si>
  <si>
    <t>GRUP BOMBA B103</t>
  </si>
  <si>
    <t>GRUP B102</t>
  </si>
  <si>
    <t>GRUP B103</t>
  </si>
  <si>
    <t>AIXETA DE PURGAT B102</t>
  </si>
  <si>
    <t>AIXETA DE PURGAT B103</t>
  </si>
  <si>
    <t>BOMBA B102</t>
  </si>
  <si>
    <t>BOMBA B103</t>
  </si>
  <si>
    <t>Subministrament i instal·lació de canonada de distribució d'aigua calenta de climatització formada per tub multicapa de polipropilè copolímer random/alumini/polipropilè copolímer random (PP-R/Al/PP-R), de 75 mm de diàmetre exterior, PN=20 atm i 10,4 mm de gruix, col·locat superficialment en el interior de l'edifici, amb aïllament mitjançant camisa aïllant flexible d'escuma elastomèrica. Inclús p/p de material auxiliar per a muntatge i subjecció a l'obra, accessoris i peces especials. Totalment muntada, connexionada i provada per l'empresa instal·ladora mitjançant les corresponents proves de servei (incloses en aquest preu).
Inclou: Replanteig del recorregut de les canonades, accessoris i peces especials. Col·locació i fixació de canonades, accessoris i peces especials. Col·locació de l'aïllament. Realització de proves de servei.
Criteri d'amidament de projecte: Longitud mesurada segons documentació gràfica de Projecte.
Criteri de mesura d'obra: Es mesurarà la longitud realment executada segons especificacions de Projecte.
Inclosos accessoris de muntatge</t>
  </si>
  <si>
    <t>Distribució passadís Sant Gil Zona Sud</t>
  </si>
  <si>
    <t>Distribució passadís Sant Gil Zona Nord</t>
  </si>
  <si>
    <t>VALVULA DE ZONA SANT GIL NORD</t>
  </si>
  <si>
    <t>VALVULA DE ZONA SANT GIL SUD</t>
  </si>
  <si>
    <t>colector zona Sant Gil</t>
  </si>
  <si>
    <t>B306</t>
  </si>
  <si>
    <t>B303</t>
  </si>
  <si>
    <t>ENLBOMB400</t>
  </si>
  <si>
    <t>Subministrament i instal.lació bomba doble acceleradora MAGNA 50-120</t>
  </si>
  <si>
    <t>BOMBA400</t>
  </si>
  <si>
    <t>Bomba Grndfos MAGNA 50-120</t>
  </si>
  <si>
    <t>B307</t>
  </si>
  <si>
    <t>B304</t>
  </si>
  <si>
    <t>Recolocació Instal.lacions</t>
  </si>
  <si>
    <t>EEV5C033</t>
  </si>
  <si>
    <t>Ampliació llicència YZP419F101 de 500 a 2.000 punts nP Open</t>
  </si>
  <si>
    <t>Ampliació YZP419F101 de llicència  de 500 a 2.000 adreces per a novaPro Open.</t>
  </si>
  <si>
    <t>BEV5C033</t>
  </si>
  <si>
    <t>EEV5C029</t>
  </si>
  <si>
    <t>Driver YZP416F311 de BACnet</t>
  </si>
  <si>
    <t>Driver natiu BACnet per novaPro Open</t>
  </si>
  <si>
    <t>BEV5C029</t>
  </si>
  <si>
    <t>Driver YZP416F311 de Sauter</t>
  </si>
  <si>
    <t>EEV5C0X5</t>
  </si>
  <si>
    <t>Programació i Enginyeria nova</t>
  </si>
  <si>
    <t>Programació i enginyeria d'imatges al sofware existent segons especificacions del projecte. Programació dels bucles de regulació DDC i PLC, càrrega de programes a les estacions de control i identificació de les mateixes. Comprovació del connexiónat dels elements de camp a l'estació i creació del full de proves. Comprovació dels equips de camp (sondes, actuadors, senyals digitals, etc.)  Edició de pàgines web per a la supervisió remota de la instal·lació via internet (connexió per modem analògic o GSM, router DSL, WAN/LAN no inclós) o via LAN interna. Visualització dinàmica de valors amb imatges estàtiques, llistats d'alarmes, corbes de tendència d'històrics. Lliurament d'esquemes de connexionat, documentació i característiques tècniques del Sistema.Treballs de posada en marxa de la instal·lació i curs de formació a l'usuari final.</t>
  </si>
  <si>
    <t>BEV5C0X5</t>
  </si>
  <si>
    <t>Programació i Enginyeria nova Pro Open de SAUTER</t>
  </si>
  <si>
    <t>EEV5C0X6</t>
  </si>
  <si>
    <t>Enginyeria nova Pro Open</t>
  </si>
  <si>
    <t>Enginyeria d'imatges al software existent de Sauter segons especificacions del projecte. Edició de pàgines web per a la supervisió remota de la instal·lació via internet (connexió per modem analògic o GSM, router DSL, WAN/LAN no inclós) o via LAN interna. Visualització dinàmica de valors amb imatges estàtiques, llistats d'alarmes, corbes de tendència d'històrics. Lliurament d'esquemes de connexionat, documentació i característiques tècniques del Sistema.Treballs de posada en marxa de la instal·lació i curs de formació a l'usuari final.</t>
  </si>
  <si>
    <t>BEV5C0X6</t>
  </si>
  <si>
    <t>Enginyeria nova Pro Open de SAUTER</t>
  </si>
  <si>
    <t>SWIT01</t>
  </si>
  <si>
    <t>Switch de control</t>
  </si>
  <si>
    <t>EEV32552</t>
  </si>
  <si>
    <t>Auxiliar</t>
  </si>
  <si>
    <t>Switch industrial per a Ethernet -ISW-801T</t>
  </si>
  <si>
    <t>BEV32552</t>
  </si>
  <si>
    <t>EEV32I16</t>
  </si>
  <si>
    <t>Conversor RS232/485 SIB-AC200</t>
  </si>
  <si>
    <t>Conversor RS232/485 model SIB-AC200 per a integracions Mod-bus RTU.</t>
  </si>
  <si>
    <t>BEV32I16</t>
  </si>
  <si>
    <t>EEV32I10</t>
  </si>
  <si>
    <t>Router EY-GB500F501 de comunicació BACnet IP a BACnet MSTP</t>
  </si>
  <si>
    <t>Router LIP-EM201C de comunicació BACnet IP a BACnet MSTP (RS485), amb dos ports Ethernet i un port COM RS485. Límit 32 esclaus MS/TP (possible ampliar fins a 62 esclaus MS/TP emprant amplificador RS485, no inclòs). Configuració per pàgina Web. alimentació 24 Vac/Vdc.).</t>
  </si>
  <si>
    <t>BEV32I10</t>
  </si>
  <si>
    <t>EEVZ10020</t>
  </si>
  <si>
    <t>Cofret de control per Fan coil per amplificador de bus MS/TP</t>
  </si>
  <si>
    <t>Cofret Himel o similar per a amplificador de bus BACnet MS/TP compost per: cofret de polyester aïllant, borns i elements protecció. Totalment cablejat.</t>
  </si>
  <si>
    <t>BEVZ1020</t>
  </si>
  <si>
    <t>EEV32502</t>
  </si>
  <si>
    <t>Mòdul d'expansió DDC EY-IO530F001 família EY-modulo5</t>
  </si>
  <si>
    <t>Mòdul d'expansió ref. EY-IO530F001 modu530 Per a regulació DDC. Disposa de 8 entrades digital i 8 entrades universals per a estació modu525, alimentació i comunicació per bus d'expansió, bornes per a connexionat. IP30.</t>
  </si>
  <si>
    <t>BEV32502</t>
  </si>
  <si>
    <t>Mòdul d'expansió EY-IO530F001 família EY-modulo5 de Sauter</t>
  </si>
  <si>
    <t>EEV32503</t>
  </si>
  <si>
    <t>Mòdul d'expansió DDC EY-IO570F001 família EY-modulo5</t>
  </si>
  <si>
    <t>Mòdul d'expansió ref. EY-IO570F001 modu570 per a regulació DDC. Disposa de 8 entrades universals i 4 sortides 0-10 V per a estació modu525, alimentació i comunicació per bus d'expansió, bornes per a connexionat. IP30.</t>
  </si>
  <si>
    <t>BEV32503</t>
  </si>
  <si>
    <t>Mòdul d'expansió EY-IO570F001 família EY-modulo5 de Sauter</t>
  </si>
  <si>
    <t>EEV32501</t>
  </si>
  <si>
    <t>Controlador DDC model EY-AS525F001 família EY-modulo5</t>
  </si>
  <si>
    <t>Estació de control autònoma modular programable ref. EY-AS525F001 modu525 família EY-modulo5 de Regulació DDC bus BACnet i servidor Web integrat. Disposa de 26 punts d'entrada/sortida ampliable fins a 154. Funcions horari, calendari i històric de dades. Alim. 230 V</t>
  </si>
  <si>
    <t>BEV32501</t>
  </si>
  <si>
    <t>Estació autònoma modular EY-AS525F001família modulo5 de Sauter</t>
  </si>
  <si>
    <t>EEV32534</t>
  </si>
  <si>
    <t>Mòdul remot d'expansió EY-EM511F001 d'ecos50x</t>
  </si>
  <si>
    <t>Mòdul remot d'expansió EY-EM511F001 ecoLink511 per ecos500 Sistema EY-modulo5 de basat en protocol BACnet per a regulació DDC. Disposa de 4 entrades analògiques-digitals, 2 entrades de Ni/PT10002, 3 sortides digitals de triacs i 3 sortides 0-10 V. Alimentació 24 V</t>
  </si>
  <si>
    <t>BEV32534</t>
  </si>
  <si>
    <t>Mòdul remot d'expansió EY-EM511F001 d'ecos50x de Sauter</t>
  </si>
  <si>
    <t>EEV32567</t>
  </si>
  <si>
    <t>Estació autònoma compacte EY-RC504F001 BACnet/IP</t>
  </si>
  <si>
    <t>Estació de control autònoma compacte programable ref. EY-RC504F001 ECOS504 família EY-modulo5 de amb capacitat de regulació i control autònom, doble connexió a bus BACnet/IP. Connexió de 2 busos per a sondes EY-RU i mòduls de camp EY-EM. Funcions horari, calendari i històric de dades. Alim. 24 V</t>
  </si>
  <si>
    <t>BEV32567</t>
  </si>
  <si>
    <t>Estació autònoma compacte EY-RC504F001 BACnet/IP de SAUTER</t>
  </si>
  <si>
    <t>EEVZ1K13</t>
  </si>
  <si>
    <t>Quadre de control SIB-CE652 COL·LECTORS ZONA SUB</t>
  </si>
  <si>
    <t>BEVZ1K13</t>
  </si>
  <si>
    <t>EEVZ1K12</t>
  </si>
  <si>
    <t>Quadre de control SIB-CE652 COL·LECTORS ZONA NORD</t>
  </si>
  <si>
    <t>BEVZ1K12</t>
  </si>
  <si>
    <t>EEVZ1K11</t>
  </si>
  <si>
    <t>Quadre de control SIB-CE652 SALA CALDERES</t>
  </si>
  <si>
    <t>BEVZ1K11</t>
  </si>
  <si>
    <t>EEV21E00</t>
  </si>
  <si>
    <t>Sonda de Tª exterior model EGT301F102</t>
  </si>
  <si>
    <t>Sonda de temperatura exterior model EGT301F102 , Ni1000, muntatge mural, rang -35 a 90º C IP65</t>
  </si>
  <si>
    <t>BEV21E00</t>
  </si>
  <si>
    <t>Sonda de Tª exterior model EGT301F102 de SAUTER</t>
  </si>
  <si>
    <t>Sonda de Tª canonada amb beina EGT346F102L100</t>
  </si>
  <si>
    <t>Sonda de temperatura EGT346F102L100, de canya per immersió Ni1000, L=100 mm. amb funda de llautó i rosca R 1/2" PN10, rang -50 a 160ºC IP62.</t>
  </si>
  <si>
    <t>BEV21D00</t>
  </si>
  <si>
    <t>Sonda de Tª canonada amb beina EGT346F102L100 de SAUTER</t>
  </si>
  <si>
    <t>EEV22103</t>
  </si>
  <si>
    <t>Sonda de pressió diferencial model DSDU103F021</t>
  </si>
  <si>
    <t>Transmisor amb sensor ceràmic per a mesura de pressió diferencial model DSDU103F021 en circuits HVAC per a líquids gasos i vapor no agressiu amb acer inoxidable.  Rang 0...2,5 bar. Sortida 0...10Vdc. Pressiómàx. 21 bar (+) i 15 bar (-), Tª. màx. del fluid 80ºC. Connexió a procés 1/8"G. Alim. 24V</t>
  </si>
  <si>
    <t>BEV22103</t>
  </si>
  <si>
    <t>Sonda de pressió diferencial model DSDU103F021 de SAUTER</t>
  </si>
  <si>
    <t>Comptador energia AC Qp 25m3/h S23HHE90250TP1PO</t>
  </si>
  <si>
    <t>EEVGM054</t>
  </si>
  <si>
    <t>Comptador energia AC Qp 45m3/h S23HHE90450TP1PO</t>
  </si>
  <si>
    <t>Comptador de energia MECÀNIC woltmann PN16 SIBH045090G per a calefacció amb calculador electrònic S2-H i sortida per polsos amb les següents característiques: alimentació 230VAC; DN80 ; Qp 45 m3/h ; 225mm ; tornada ; 100 l/p ; MWh ; 90ºC; Funda SIBTP120I inclosa
.</t>
  </si>
  <si>
    <t>BEVGM054</t>
  </si>
  <si>
    <t>Comptador energia AC Qp 45m3/h S23HHE90450TP1PO de SAUTER</t>
  </si>
  <si>
    <t>QUADRE ZONA SUD</t>
  </si>
  <si>
    <t>QUADRE ZONA NORD</t>
  </si>
  <si>
    <t>QUADRE SALA CALDERES</t>
  </si>
  <si>
    <t>QUADRE PRINCIPAL</t>
  </si>
  <si>
    <t>CONCEPTE</t>
  </si>
  <si>
    <t>IMPORT</t>
  </si>
  <si>
    <t>Reforma Interior de la Distribució tèrmica de les Instal·lacions de les plantes 1ª/2ª/3ª de l’Edifici de Sant Antoni</t>
  </si>
  <si>
    <t>CAPÍTOL 1. Producció tèrmica</t>
  </si>
  <si>
    <t>CAPÍTOL 2. Instal·lació interior</t>
  </si>
  <si>
    <t>CAPÍTOL 3. Control instal·lació</t>
  </si>
  <si>
    <t>Reforma Interior de la Distribució tèrmica de les Instal·lacions de les plantes 1ª/2ª de l’Edifici de Sant Gil</t>
  </si>
  <si>
    <t>Reforma Interior de la Distribució tèrmica de les Instal·lacions de l’edifici de Sant Justí</t>
  </si>
  <si>
    <t xml:space="preserve">CAPITOL 1 Producció tèrmica </t>
  </si>
  <si>
    <t>Ampliació de de la instal·lació de geotèrmia</t>
  </si>
  <si>
    <t>1. FASE III</t>
  </si>
  <si>
    <t>2. FASE V</t>
  </si>
  <si>
    <t>Total PEM</t>
  </si>
  <si>
    <t>Despeses Generals (13%)</t>
  </si>
  <si>
    <t>Benefici Industrial (6%)</t>
  </si>
  <si>
    <r>
      <t>TOTAL PEC (abans d’IVA)</t>
    </r>
    <r>
      <rPr>
        <sz val="8"/>
        <color rgb="FF000000"/>
        <rFont val="Calibri"/>
        <family val="2"/>
      </rPr>
      <t> </t>
    </r>
  </si>
  <si>
    <t xml:space="preserve">TOTAL FASE III </t>
  </si>
  <si>
    <t xml:space="preserve">TOTAL FASE V - </t>
  </si>
  <si>
    <t>Pressupost modificació instal.alcions tèrmiques Sant Justí</t>
  </si>
  <si>
    <t>PRESSUPOST STJUSTI BC3</t>
  </si>
  <si>
    <t>PRODUCCIO</t>
  </si>
  <si>
    <t>UBC010db1</t>
  </si>
  <si>
    <t>Conducció soterrada d'aigua per a instal·lació centralitzada de calefacció formada per canonada per a calefacció, model Ecoflex Thermo Single "UPONOR IBERIA", de 200mm de diàmetre, composta per tub de polietilè reticulat (PE-X) amb barrera d'oxigen (EVOH) de 90mm de diàmetre i 8,2mm de gruix, pressió màxima de treball 6bar, temperatura màxima de treball 95°C, preaïllat tèrmicament amb escuma de polietilè reticulat (PE-X) i protegit mecànicament amb tub corrugat de polietilè d'alta densitat (PEAD/HDPE), col·locada sobre llit de sorra de 10cm de gruix, degudament compactada i anivellada amb picó vibrant de guiat manual, reblert lateral compactant fins els ronyons i posterior reblert amb la mateixa sorra fins 15 cm per sobre de la generatriu superior de la canonada. Inclús accessoris d'unió i kits d'aïllament.</t>
  </si>
  <si>
    <t>Conducció soterrada d'aigua per a instal·lació centralitzada de calefacció formada per canonada per a calefacció, model Ecoflex Thermo Single "UPONOR IBERIA", de 200mm de diàmetre, composta per tub de polietilè reticulat (PE-X) amb barrera d'oxigen (EVOH) de 90mm de diàmetre i 8,2mm de gruix, pressió màxima de treball 6bar, temperatura màxima de treball 95°C, preaïllat tèrmicament amb escuma de polietilè reticulat (PE-X) i protegit mecànicament amb tub corrugat de polietilè d'alta densitat (PEAD/HDPE), col·locada  Inclús accessoris d'unió i kits d'aïllament.</t>
  </si>
  <si>
    <t>mt37scu011nc</t>
  </si>
  <si>
    <t>Canonada per a calefacció, model Ecoflex Thermo Single "UPONOR IBERIA", de 200 mm de diàmetre, composta per tub de polietilè reticulat (PE-X) amb barrera d'oxigen (EVOH) de 90 mm de diàmetre i 8,2 mm de gruix, pressió màxima de treball 6 bar, temperatura màxima de treball 95°C, preaïllat tèrmicament amb escuma de polietilè reticulat (PE-X) i protegit mecànicament amb tub corrugat de polietilè d'alta densitat (PEAD/HDPE).</t>
  </si>
  <si>
    <t>mt37scu111n</t>
  </si>
  <si>
    <t>Accessoris d'unió i kits d'aïllament per a canonada model Ecoflex Thermo Single "UPONOR IBERIA", de 90 mm de diàmetre.</t>
  </si>
  <si>
    <t>ICS030</t>
  </si>
  <si>
    <t>Col·lector de distribució d'aigua format per tub d'acer negre estirat sense soldadura, de 4" DN 100 mm de diàmetre i 4,5 mm de gruix, de 2 m de longitud, amb 1 connexió d'entrada i 4 connexions de sortida, amb planxa flexible d'escuma elastomèrica, a força de cautxú sintètic flexible, d'estructura cel·lular tancada, amb un elevat factor de resistència a la difusió del vapor d'aigua, de 50 mm d'espessor. Inclús manòmetre, termòmetres, ancoratges, suports de canonada aïllats, accessoris i peces especials per a connexions.</t>
  </si>
  <si>
    <t>impulsió</t>
  </si>
  <si>
    <t>retorn</t>
  </si>
  <si>
    <t>mt08tan330k</t>
  </si>
  <si>
    <t>Material auxiliar per a muntatge i subjecció a l'obra de les canonades d'acer, de 4" DN 100 mm.</t>
  </si>
  <si>
    <t>mt08tan020jk</t>
  </si>
  <si>
    <t>Tub d'acer negre estirat sense soldadura, de 4" DN 100 mm de diàmetre i 4,5 mm de gruix, segons UNE 19052, amb el preu incrementat el 50% en concepte d'accessoris i peces especials.</t>
  </si>
  <si>
    <t>mt17coe010j</t>
  </si>
  <si>
    <t>Planxa flexible d'escuma elastomèrica, a força de cautxú sintètic flexible, d'estructura cel·lular tancada, amb un elevat factor de resistència a la difusió del vapor d'aigua, de 50 mm d'espessor.</t>
  </si>
  <si>
    <t>mt42www050</t>
  </si>
  <si>
    <t>Termòmetre bimetàl·lic, diàmetre d'esfera de 100 mm, amb presa vertical, amb beina de 1/2", escala de temperatura de 0 a 120°C.</t>
  </si>
  <si>
    <t>ICS017</t>
  </si>
  <si>
    <t>Bomba circuladora electrònica, model 98609707 MAGNA3 32-120 "GRUNDFOS", índex d'eficiència energètica EEI 0,18, pes 5,02 kg, connexions G 2", pressió màxima 10 bar, de 180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 amb joc de ràcords amb connexions G 1 1/2" x Rp 3/4", 529921, amb endoll d'alimentació elèctrica, tipus Alpha, 98284561. Inclús pont de manòmetres format per manòmetre, vàlvules d'esfera i canonada de coure; elements de muntatge; caixa de connexions elèctriques amb condensador i accessoris necessaris per al seu correcte funcionament.</t>
  </si>
  <si>
    <t>Bomba circuladora electrònica, model 98609707 MAGNA3 32-120 "GRUNDFOS", índex d'eficiència energètica EEI 0,18, pes 5,02 kg, connexions G 2", pressió màxima 10 bar, de 180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 amb joc de ràcords amb connexions G 1 1/2" x Rp 3/4", 529921, amb endoll d'alimentació elèctrica, tipus Alpha, 98284561. Inclús pont de manòmetres format per manòmetre, vàlvules d'esfera i canonada de coure; elements de muntatge; caixa de connexions elèctriques amb condensador i accessoris necessaris per al seu correcte funcionament.
Inclou: Replanteig. Col·locació de la bomba de circulació. Connexió a la xarxa de distribució. Comprovació del seu correcte funcionament.
Criteri d'amidament de projecte: Nombre d'unitats previstes, segons documentació gràfica de Projecte.
Criteri de mesura d'obra: Es mesurarà el nombre d'unitats realment executades segons especificacions de Projecte.</t>
  </si>
  <si>
    <t>mt37gru034ie</t>
  </si>
  <si>
    <t>Bomba circuladora electrònica, model 98609707 MAGNA3 32-120 "GRUNDFOS", índex d'eficiència energètica EEI 0,18, pes 5,02 kg, connexions G 2", pressió màxima 10 bar, de 180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t>
  </si>
  <si>
    <t>mt37gru505a</t>
  </si>
  <si>
    <t>Endoll d'alimentació elèctrica, tipus Alpha, 98284561 "GRUNDFOS", per a bomba de circulació.</t>
  </si>
  <si>
    <t>mt37gru504bb</t>
  </si>
  <si>
    <t>Joc de ràcords amb connexions G 1 1/2" x Rp 3/4", 529921, "GRUNDFOS".</t>
  </si>
  <si>
    <t>mt37sve010e</t>
  </si>
  <si>
    <t>Vàlvula d'esfera de llautó niquelat per roscar de 1 1/4".</t>
  </si>
  <si>
    <t>mt37www060f</t>
  </si>
  <si>
    <t>Filtre retenidor de residus de llautó, amb tamís d'acer inoxidable amb perforacions de 0,5 mm de diàmetre, amb rosca de 1 1/4", per a una pressió màxima de treball de 16 bar i una temperatura màxima de 110°C.</t>
  </si>
  <si>
    <t>mt37svr010d</t>
  </si>
  <si>
    <t>Vàlvula de retenció de llautó per roscar de 1 1/4".</t>
  </si>
  <si>
    <t>mt37www050e</t>
  </si>
  <si>
    <t>Maneguet antivibració, de goma, amb rosca de 1 1/4", per a una pressió màxima de treball de 10 bar.</t>
  </si>
  <si>
    <t>mt37sve010b</t>
  </si>
  <si>
    <t>Vàlvula d'esfera de llautó niquelat per roscar de 1/2".</t>
  </si>
  <si>
    <t>mt37tca010ba</t>
  </si>
  <si>
    <t>Tub de coure rígid amb paret de 1 mm de gruix i 13/15 mm de diàmetre, segons UNE-EN 1057.</t>
  </si>
  <si>
    <t>mt35aia090ab</t>
  </si>
  <si>
    <t>Tub rígid de PVC, endollable, corbable en calent, de color negre, de 20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</si>
  <si>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mt37gru600a</t>
  </si>
  <si>
    <t>Posada en marxa de la bomba circuladora, "GRUNDFOS".</t>
  </si>
  <si>
    <t>ICS017b</t>
  </si>
  <si>
    <t>Bomba circuladora electrònica, model 97924269 MAGNA3 40-100 F "GRUNDFOS", índex d'eficiència energètica EEI 0,18, pes 16,4 kg, connexions DN 40 mm, pressió màxima 6/10 bar, pressió màxima 6/10 bar, de 220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 amb contrabrides amb connexions DN 40 mm x DN 40 mm, 96569184, amb endoll d'alimentació elèctrica, tipus Alpha, 98284561. Inclús pont de manòmetres format per manòmetre, vàlvules d'esfera i canonada de coure; elements de muntatge; caixa de connexions elèctriques amb condensador i accessoris necessaris per al seu correcte funcionament.</t>
  </si>
  <si>
    <t>Bomba circuladora electrònica, model 97924269 MAGNA3 40-100 F "GRUNDFOS", índex d'eficiència energètica EEI 0,18, pes 16,4 kg, connexions DN 40 mm, pressió màxima 6/10 bar, pressió màxima 6/10 bar, de 220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 amb contrabrides amb connexions DN 40 mm x DN 40 mm, 96569184, amb endoll d'alimentació elèctrica, tipus Alpha, 98284561. Inclús pont de manòmetres format per manòmetre, vàlvules d'esfera i canonada de coure; elements de muntatge; caixa de connexions elèctriques amb condensador i accessoris necessaris per al seu correcte funcionament.
Inclou: Replanteig. Col·locació de la bomba de circulació. Connexió a la xarxa de distribució. Comprovació del seu correcte funcionament.
Criteri d'amidament de projecte: Nombre d'unitats previstes, segons documentació gràfica de Projecte.
Criteri de mesura d'obra: Es mesurarà el nombre d'unitats realment executades segons especificacions de Projecte.</t>
  </si>
  <si>
    <t>mt37gru035gd</t>
  </si>
  <si>
    <t>Bomba circuladora electrònica, model 97924269 MAGNA3 40-100 F "GRUNDFOS", índex d'eficiència energètica EEI 0,18, pes 16,4 kg, connexions DN 40 mm, pressió màxima 6/10 bar, pressió màxima 6/10 bar, de 220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t>
  </si>
  <si>
    <t>mt37gru508bb</t>
  </si>
  <si>
    <t>Contrabrida amb connexions DN 40 mm x DN 40 mm, 96569184 "GRUNDFOS", amb junt, cargols i femelles.</t>
  </si>
  <si>
    <t>mt37sve005e</t>
  </si>
  <si>
    <t>Vàlvula d'esfera, DN 40 mm, cos de ferro i bola de llautó, amb brides.</t>
  </si>
  <si>
    <t>mt37www060g</t>
  </si>
  <si>
    <t>Filtre retenidor de residus de llautó, amb tamís d'acer inoxidable amb perforacions de 0,5 mm de diàmetre, amb rosca de 1 1/2", per a una pressió màxima de treball de 16 bar i una temperatura màxima de 110°C.</t>
  </si>
  <si>
    <t>mt37svr020b</t>
  </si>
  <si>
    <t>Vàlvula de retenció de doble clapeta, amb cos de ferro colat i clapeta, eix i ressort d'acer inoxidable, DN 40 mm, PN 16 atm.</t>
  </si>
  <si>
    <t>mt37www040b</t>
  </si>
  <si>
    <t>Maneguet antivibració, de goma, amb brides DN 40 mm, per a una pressió màxima de treball de 10 bar.</t>
  </si>
  <si>
    <t>ICS017c</t>
  </si>
  <si>
    <t>Bomba circuladora electrònica, model 97924283 MAGNA3 50-100 F "GRUNDFOS", índex d'eficiència energètica EEI 0,18, pes 18,2 kg, connexions DN 50 mm, pressió màxima 6/10 bar, de 280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 amb contrabrides amb connexions DN 50 mm x DN 50 mm, 96569185. Inclús pont de manòmetres format per manòmetre, vàlvules d'esfera i canonada de coure; elements de muntatge; caixa de connexions elèctriques amb condensador i accessoris necessaris per al seu correcte funcionament.</t>
  </si>
  <si>
    <t>Bomba circuladora electrònica, model 97924283 MAGNA3 50-100 F "GRUNDFOS", índex d'eficiència energètica EEI 0,18, pes 18,2 kg, connexions DN 50 mm, pressió màxima 6/10 bar, de 280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 amb contrabrides amb connexions DN 50 mm x DN 50 mm, 96569185. Inclús pont de manòmetres format per manòmetre, vàlvules d'esfera i canonada de coure; elements de muntatge; caixa de connexions elèctriques amb condensador i accessoris necessaris per al seu correcte funcionament.
Inclou: Replanteig. Col·locació de la bomba de circulació. Connexió a la xarxa de distribució. Comprovació del seu correcte funcionament.
Criteri d'amidament de projecte: Nombre d'unitats previstes, segons documentació gràfica de Projecte.
Criteri de mesura d'obra: Es mesurarà el nombre d'unitats realment executades segons especificacions de Projecte.</t>
  </si>
  <si>
    <t>mt37gru036hd</t>
  </si>
  <si>
    <t>Bomba circuladora electrònica, model 97924283 MAGNA3 50-100 F "GRUNDFOS", índex d'eficiència energètica EEI 0,18, pes 18,2 kg, connexions DN 50 mm, pressió màxima 6/10 bar, de 280 mm de longitud, control i comunicació externa amb entrades digitals, sortides de relé i entrada analògica, control des de smartphone o tablet mitjançant l'App Grundfos GO Remote per IOS (iPhone i iPad) i Android, comunicació amb sistema de gestió d'edificis BMS amb mòduls CIM connectables a xarxes amb protocol de comunicació GENIbus, LonWorks, Profibus DP, Modbus RTU, BACnet, MS/TP i GSM/GPRS, panell de control del mode de funcionament amb selecció entre mode AUTOADAPT d'ajust continu del rendiment de la bomba segons la necessitat de la instal·lació, funció FLOWLIMIT de limitació de cabal, mode FLOWADAPT com a combinació dels dos anteriors, mode de velocitat constant, mode de pressió constant i mode de pressió proporcional, corbes de treball mínima i màxima, mode de temperatura constant en sistemes amb A.C.S., mode automàtica de treball nocturn, apta per a temperatures des de -10 fins 110°C, motor amb alimentació monofàsica, protecció IPX4D i aïllament classe F.</t>
  </si>
  <si>
    <t>mt37gru508cc</t>
  </si>
  <si>
    <t>Contrabrida amb connexions DN 50 mm x DN 50 mm, 96569185 "GRUNDFOS", amb junt, cargols i femelles.</t>
  </si>
  <si>
    <t>mt37sve005f</t>
  </si>
  <si>
    <t>Vàlvula d'esfera, DN 50 mm, cos de ferro i bola de llautó, amb brides.</t>
  </si>
  <si>
    <t>mt37www060h</t>
  </si>
  <si>
    <t>Filtre retenidor de residus de llautó, amb tamís d'acer inoxidable amb perforacions de 0,5 mm de diàmetre, amb rosca de 2", per a una pressió màxima de treball de 16 bar i una temperatura màxima de 110°C.</t>
  </si>
  <si>
    <t>mt37svr020c</t>
  </si>
  <si>
    <t>Vàlvula de retenció de doble clapeta, amb cos de ferro colat i clapeta, eix i ressort d'acer inoxidable, DN 50 mm, PN 16 atm.</t>
  </si>
  <si>
    <t>mt37www040c</t>
  </si>
  <si>
    <t>Maneguet antivibració, de goma, amb brides DN 50 mm, per a una pressió màxima de treball de 10 bar.</t>
  </si>
  <si>
    <t>PLANTA PRIMERA</t>
  </si>
  <si>
    <t>ICS075</t>
  </si>
  <si>
    <t>HABITACIONS SUD</t>
  </si>
  <si>
    <t>VALVULA ZONA NORD</t>
  </si>
  <si>
    <t>VALVULA ZONA SUD</t>
  </si>
  <si>
    <t>SUD</t>
  </si>
  <si>
    <t>NORD</t>
  </si>
  <si>
    <t>Contactor, de 1 mòdul, contactes 1NO+1NT, intensitat nominal 20 A, tensió de bobina 230 V.</t>
  </si>
  <si>
    <t>ICS075b</t>
  </si>
  <si>
    <t>Aïllament tèrmic de canonada en instal·lació interior de calefacció, col·locada superficialment, per la distribució de fluids calents (de +40°C a +60°C), format per camisa aïllant d'escuma elastomèrica, de 36 mm de diàmetre interior i 30 mm de gruix, a força de cautxú sintètic flexible, d'estructura cel·lular tancada, amb adhesiu per a les unions.</t>
  </si>
  <si>
    <t>Aïllament tèrmic de canonada en instal·lació interior de calefacció, col·locada superficialment, per la distribució de fluids calents (de +40°C a +60°C), format per camisa aïllant d'escuma elastomèrica, de 36 mm de diàmetre interior i 30 mm de gruix, a força de cautxú sintètic flexible, d'estructura cel·lular tancada, amb adhesiu per a les unions.
Inclou: Preparació de la superfície suport. Replanteig i tall de l'aïllament. Col·locació de l'aïllament.
Criteri d'amidament de projecte: Longitud mesurada segons documentació gràfica de Projecte.
Criteri de mesura d'obra: Es mesurarà la longitud realment executada segons especificacions de Projecte.</t>
  </si>
  <si>
    <t>mt17coe070ie</t>
  </si>
  <si>
    <t>Camisa aïllant d'escuma elastomèrica, de 36 mm de diàmetre interior i 30 mm de gruix, a força de cautxú sintètic flexible, d'estructura cel·lular tancada.</t>
  </si>
  <si>
    <t>NAA010</t>
  </si>
  <si>
    <t>Aïllament tèrmic de canonada en instal·lació interior de calefacció, col·locada superficialment, per la distribució de fluids calents (de +40°C a +60°C), format per camisa aïllant d'escuma elastomèrica, de 43,5 mm de diàmetre interior i 30 mm de gruix, a força de cautxú sintètic flexible, d'estructura cel·lular tancada, amb adhesiu per a les unions.</t>
  </si>
  <si>
    <t>Aïllament tèrmic de canonada en instal·lació interior de calefacció, col·locada superficialment, per la distribució de fluids calents (de +40°C a +60°C), format per camisa aïllant d'escuma elastomèrica, de 43,5 mm de diàmetre interior i 30 mm de gruix, a força de cautxú sintètic flexible, d'estructura cel·lular tancada, amb adhesiu per a les unions.
Inclou: Preparació de la superfície suport. Replanteig i tall de l'aïllament. Col·locació de l'aïllament.
Criteri d'amidament de projecte: Longitud mesurada segons documentació gràfica de Projecte.
Criteri de mesura d'obra: Es mesurarà la longitud realment executada segons especificacions de Projecte.</t>
  </si>
  <si>
    <t>PLANTA SEGONA</t>
  </si>
  <si>
    <t>ICS010c</t>
  </si>
  <si>
    <t>ICS075d</t>
  </si>
  <si>
    <t>ICS075e</t>
  </si>
  <si>
    <t>ICS010d</t>
  </si>
  <si>
    <t>NAA010b</t>
  </si>
  <si>
    <t>NAA010c</t>
  </si>
  <si>
    <t>PLANTA TERCERA</t>
  </si>
  <si>
    <t>NAA010d</t>
  </si>
  <si>
    <t>02.04</t>
  </si>
  <si>
    <t>PLANTA QUARTA</t>
  </si>
  <si>
    <t>ICS010g</t>
  </si>
  <si>
    <t>IEX105d</t>
  </si>
  <si>
    <t>HYA010e</t>
  </si>
  <si>
    <t>CONTROL</t>
  </si>
  <si>
    <t>REG006</t>
  </si>
  <si>
    <t>Modificació sistema de control</t>
  </si>
  <si>
    <t>Modificació sistema de control afegint :
- Programació i enginyeria
- Switch i conversor
- Moduls expansió de dades
- Controlador
- Mòdul expansio 
- Quadre de control 
- Sonda de temperatura exterior
- Sondes de canonada 
- Sonda de pressió
- Subminisitrament de cablejat de dades
- Preses de dades</t>
  </si>
  <si>
    <t>FASE V: Obra d'execució de la nova sala de producció de Sant Antoni amb 360 kW de geotèrmia fins els 840 kW totals, desmantellament de la producció de gasoil de Núria i connexió dels serveis del Hotel.</t>
  </si>
  <si>
    <t>Control de gestió de la geotèrmia</t>
  </si>
  <si>
    <t>Fase 2</t>
  </si>
  <si>
    <t>Fase 1</t>
  </si>
  <si>
    <t>Fase 3</t>
  </si>
  <si>
    <t>Fase 4</t>
  </si>
  <si>
    <t>Sensor de temperatura amb tapa cega 10 K</t>
  </si>
  <si>
    <t>FASE III: Obra d'ampliació de la producció geotèrmica de Sant Josep en 180 kW fins a 480 kW totals i connexió dels serveis de San Justí a la nova xarxa de geotèrmia</t>
  </si>
  <si>
    <t xml:space="preserve">Renovació del sistema de control de la calefacció l'edifici de Vall de Núria
</t>
  </si>
  <si>
    <t>Renovació del sistema de control edifici Vall de Núria</t>
  </si>
  <si>
    <t>F1</t>
  </si>
  <si>
    <t>FASE I</t>
  </si>
  <si>
    <t>Control dels circuits secundaris de distribució</t>
  </si>
  <si>
    <t>Estació de control SUB01: Quadre tipus CRN de 800x800x200
per a electrònica de control fins a 8 bases STRUXUREWARE
amb bornes, totalment cablejat i etiquetat. S'inclou
electrònica de control BMS Schneider Electric, familia
struxureware: font d'alimentació, Automation Server
Premium i tots els mòduls d'entrada necessaris.
Treballs de muntatge, adaptació de cablejats, comunicació
mitjançant busos cablejats, proves de funcionament i
posada en servei.</t>
  </si>
  <si>
    <t>01.F1.01</t>
  </si>
  <si>
    <t>Sonda de temperatura d'immersió L=100, tipus Termistor NTC
1,8 kOhm (a 25ºC). Caixa de poliamida amb protecció IP65,
tub d'immersió en acer inoxidable (diam. 6 mm), rang de
lectura -40 a 150ºC. Inclosa vaina d'acer inoxidable (diam
7-10 mm), PN25, amb rosca M1/2" Lim = 100mm, Ltot=113, Rang
de Temperatura -40ºC-150ºC, Fixació mitjançant cargol.</t>
  </si>
  <si>
    <t>01.F1.02</t>
  </si>
  <si>
    <t>Control Terra Radiant Habitacions</t>
  </si>
  <si>
    <t>SmartX RP-C controlador de Zona de 16 entrades/sortides
230V de lliure programació</t>
  </si>
  <si>
    <t>Ordinador de control, software programació i posada en marxa</t>
  </si>
  <si>
    <t>Ordinador per a lloc de treball central amb pantalla plana
de 22" totalment configurat amb software per a plataformes
Struxureware</t>
  </si>
  <si>
    <t>Software Enterprise Server Plataforma Ecostruxure for
Buildings . És el lloc central des d'on els usuaris poden
configurar, controlar i monitoritzar el sistema complet
controlat per varios servidors. La llicènca pot gestiomar fins
a 10 SmartX Controllers, permet executar diferents programes
de control utilitzant diferents protocols, maneig d'alarmes,
usuaris, horaris, events. La informació pot lliurar-se a
l'usuari directament o a altres dispositius i servidors.
Soporta Bacnet, modbus i Lonworks mitjançant drivers na􀆟us.</t>
  </si>
  <si>
    <t>Treballs de posta en marxa i enginyeria per a programació
bàsica i explicacionsd de funcionament</t>
  </si>
  <si>
    <t>TOTAL FASE I</t>
  </si>
  <si>
    <t>FASE II</t>
  </si>
  <si>
    <t>F2</t>
  </si>
  <si>
    <t>Control Fancoils Habitacions</t>
  </si>
  <si>
    <t>Instal.lació de termostat de fancoil ( Termostat, selector 3 velocitats i selector marxa/paro ).
Treballs de muntatge, adaptació de cablejats, desmuntatge
mòduls de control sistema sauter, adaptació termostat tres
velocitats i cablejats fins a fancoil, control marxa/paro per
targeter habitació i proves de funcionament i posada en
servei.</t>
  </si>
  <si>
    <t>TOTAL FASE II</t>
  </si>
  <si>
    <t>01.F1.03</t>
  </si>
  <si>
    <t>01.F2.01</t>
  </si>
  <si>
    <t>Estació de control SUB05: Quadre tipus CRN de 700x500x200 per a electrònica de control fins a 2 bases STRUXUREWARE amb bornes, totalment cablejat i etiquetat. S'inclou electrònica de control BMS Schneider Electric, familia struxureware: font d'alimentació, Automation Server Premium i tots els mòduls d'entrada necessaris.
Treballs de muntatge, adaptació de cablejats, comunicació mitjançant busos cablejats, proves de funcionament i posada en servei.</t>
  </si>
  <si>
    <t>Sonda combinada de temperatura i humitat per a conductes.
Sensor de temperatura seleccionable tipus termistor NTC 1.8
o 10 Kohm. Tub d'inmesrió en poliamida, amb filtre protector
del sensor de bronze. Longitud d'inmersió 230 mm, caixa de
poliamida amb protecció IP65 , rangs de lectura de
temperatura de -10a +60ºC, humitat de 0-95% HR, transmissor
per a senyal de HR seleccionable 4-20mA, marca Schneider,
model SHD100-T</t>
  </si>
  <si>
    <t>Transmissor de pressió diferencial / velocitat d'aire
0-250/500/1000/2500 PA</t>
  </si>
  <si>
    <t>Control climatitzador aire primari habitacions</t>
  </si>
  <si>
    <t>Control terra radiant de les zones comuns</t>
  </si>
  <si>
    <t>TOTAL FASE III</t>
  </si>
  <si>
    <t>FASE IV</t>
  </si>
  <si>
    <t>F4</t>
  </si>
  <si>
    <t>Estació de control SUB02: Quadre tipus CRN de 700x500x200
per a electrònica de control fins a 2 bases STRUXUREWARE
amb bornes, totalment cablejat i etiquetat. S'inclou
electrònica de control BMS Schneider Electric, familia
struxureware: font d'alimentació, Automation Server
Premium i tots els mòduls d'entrada necessaris.</t>
  </si>
  <si>
    <t>01.F3.02</t>
  </si>
  <si>
    <t>01.F4.01</t>
  </si>
  <si>
    <t>Control dels climatitzadors d'aire primari planta soterrani i planta baixa</t>
  </si>
  <si>
    <t>TOTAL FASE IV</t>
  </si>
  <si>
    <t xml:space="preserve">TOTAL Renovació del sistema de control de la calefacció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</si>
</sst>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numFmt numFmtId="165" formatCode="#,##0.000"/>
  </numFmts>
  <fonts count="27">
    <font>
      <sz val="11"/>
      <color indexed="8"/>
      <name val="Aptos Narrow"/>
      <family val="2"/>
      <scheme val="minor"/>
    </font>
    <font>
      <sz val="11"/>
      <color theme="1"/>
      <name val="Aptos Narrow"/>
      <family val="2"/>
      <scheme val="minor"/>
    </font>
    <font>
      <b/>
      <sz val="9"/>
      <name val="FreeSans"/>
    </font>
    <font>
      <sz val="9"/>
      <name val="FreeSans"/>
    </font>
    <font>
      <b/>
      <sz val="9"/>
      <color indexed="9"/>
      <name val="FreeSans"/>
    </font>
    <font>
      <sz val="14"/>
      <name val="FreeSans"/>
    </font>
    <font>
      <b/>
      <sz val="28"/>
      <name val="FreeSans"/>
    </font>
    <font>
      <b/>
      <sz val="12"/>
      <color indexed="8"/>
      <name val="Aptos Narrow"/>
      <family val="2"/>
      <scheme val="minor"/>
    </font>
    <font>
      <b/>
      <sz val="16"/>
      <name val="FreeSans"/>
    </font>
    <font>
      <sz val="12"/>
      <color rgb="FF000000"/>
      <name val="Verdana"/>
      <family val="2"/>
    </font>
    <font>
      <b/>
      <sz val="9.9499999999999993"/>
      <color rgb="FF000000"/>
      <name val="Arial"/>
      <family val="2"/>
    </font>
    <font>
      <sz val="8"/>
      <color rgb="FF000000"/>
      <name val="Arial"/>
      <family val="2"/>
    </font>
    <font>
      <b/>
      <sz val="9"/>
      <color rgb="FF000000"/>
      <name val="Arial"/>
      <family val="2"/>
    </font>
    <font>
      <b/>
      <sz val="8"/>
      <color rgb="FF000000"/>
      <name val="Arial"/>
      <family val="2"/>
    </font>
    <font>
      <sz val="8"/>
      <color rgb="FF808080"/>
      <name val="Arial"/>
      <family val="2"/>
    </font>
    <font>
      <sz val="8"/>
      <color rgb="FF101010"/>
      <name val="Arial"/>
      <family val="2"/>
    </font>
    <font>
      <sz val="11"/>
      <color indexed="8"/>
      <name val="Calibri"/>
      <family val="2"/>
    </font>
    <font>
      <b/>
      <sz val="11"/>
      <color indexed="8"/>
      <name val="Calibri"/>
      <family val="2"/>
    </font>
    <font>
      <b/>
      <sz val="11"/>
      <color rgb="FF000000"/>
      <name val="Calibri"/>
      <family val="2"/>
    </font>
    <font>
      <b/>
      <sz val="10"/>
      <color indexed="8"/>
      <name val="Arial Narrow"/>
      <family val="2"/>
    </font>
    <font>
      <sz val="10"/>
      <color indexed="8"/>
      <name val="Arial Narrow"/>
      <family val="2"/>
    </font>
    <font>
      <sz val="11"/>
      <color rgb="FF000000"/>
      <name val="Calibri"/>
      <family val="2"/>
    </font>
    <font>
      <i/>
      <sz val="11"/>
      <color rgb="FF000000"/>
      <name val="Calibri"/>
      <family val="2"/>
    </font>
    <font>
      <sz val="8"/>
      <color rgb="FF000000"/>
      <name val="Calibri"/>
      <family val="2"/>
    </font>
    <font>
      <u/>
      <sz val="11"/>
      <color theme="10"/>
      <name val="Aptos Narrow"/>
      <family val="2"/>
      <scheme val="minor"/>
    </font>
    <font>
      <sz val="8"/>
      <name val="Aptos Narrow"/>
      <family val="2"/>
      <scheme val="minor"/>
    </font>
    <font>
      <b/>
      <sz val="9"/>
      <color indexed="8"/>
      <name val="Freesans"/>
    </font>
  </fonts>
  <fills count="10">
    <fill>
      <patternFill patternType="none"/>
    </fill>
    <fill>
      <patternFill patternType="gray125"/>
    </fill>
    <fill>
      <patternFill patternType="mediumGray">
        <bgColor indexed="22"/>
      </patternFill>
    </fill>
    <fill>
      <patternFill patternType="mediumGray">
        <bgColor indexed="48"/>
      </patternFill>
    </fill>
    <fill>
      <patternFill patternType="solid">
        <fgColor rgb="FFDFFFBF"/>
      </patternFill>
    </fill>
    <fill>
      <patternFill patternType="solid">
        <fgColor rgb="FF269900"/>
      </patternFill>
    </fill>
    <fill>
      <patternFill patternType="solid">
        <fgColor rgb="FF3FB219"/>
      </patternFill>
    </fill>
    <fill>
      <patternFill patternType="solid">
        <fgColor rgb="FF58CB32"/>
      </patternFill>
    </fill>
    <fill>
      <patternFill patternType="solid">
        <fgColor rgb="FF00A9E0"/>
        <bgColor indexed="64"/>
      </patternFill>
    </fill>
    <fill>
      <patternFill patternType="solid">
        <fgColor rgb="FFC9F2FF"/>
        <bgColor indexed="64"/>
      </patternFill>
    </fill>
  </fills>
  <borders count="10">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style="thin">
        <color indexed="23"/>
      </bottom>
      <diagonal/>
    </border>
    <border>
      <left/>
      <right/>
      <top/>
      <bottom style="thin">
        <color rgb="FF000000"/>
      </bottom>
      <diagonal/>
    </border>
    <border>
      <left/>
      <right/>
      <top style="thin">
        <color rgb="FF000000"/>
      </top>
      <bottom/>
      <diagonal/>
    </border>
    <border>
      <left/>
      <right/>
      <top/>
      <bottom style="thin">
        <color rgb="FF808080"/>
      </bottom>
      <diagonal/>
    </border>
    <border>
      <left/>
      <right/>
      <top style="thin">
        <color rgb="FF80808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9" fillId="0" borderId="0"/>
    <xf numFmtId="0" fontId="24" fillId="0" borderId="0" applyNumberFormat="0" applyFill="0" applyBorder="0" applyAlignment="0" applyProtection="0"/>
  </cellStyleXfs>
  <cellXfs count="109">
    <xf numFmtId="0" fontId="0" fillId="0" borderId="0" xfId="0"/>
    <xf numFmtId="0" fontId="0" fillId="0" borderId="0" xfId="0" applyAlignment="1">
      <alignment wrapText="1"/>
    </xf>
    <xf numFmtId="164" fontId="2" fillId="0" borderId="0" xfId="0" applyNumberFormat="1" applyFont="1" applyAlignment="1">
      <alignment vertical="top" wrapText="1"/>
    </xf>
    <xf numFmtId="0" fontId="2" fillId="0" borderId="0" xfId="0" applyFont="1" applyAlignment="1">
      <alignment vertical="top" wrapText="1"/>
    </xf>
    <xf numFmtId="164" fontId="3" fillId="0" borderId="1" xfId="0" applyNumberFormat="1" applyFont="1" applyBorder="1" applyAlignment="1">
      <alignment vertical="top" wrapText="1"/>
    </xf>
    <xf numFmtId="165" fontId="3" fillId="0" borderId="1" xfId="0" applyNumberFormat="1" applyFont="1" applyBorder="1" applyAlignment="1" applyProtection="1">
      <alignment vertical="top" wrapText="1"/>
      <protection locked="0"/>
    </xf>
    <xf numFmtId="164" fontId="3" fillId="0" borderId="1" xfId="0" applyNumberFormat="1" applyFont="1" applyBorder="1" applyAlignment="1" applyProtection="1">
      <alignment vertical="top" wrapText="1"/>
      <protection locked="0"/>
    </xf>
    <xf numFmtId="0" fontId="3" fillId="0" borderId="1" xfId="0" applyFont="1" applyBorder="1" applyAlignment="1">
      <alignment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3" xfId="0" applyFont="1" applyBorder="1" applyAlignment="1">
      <alignment vertical="top" wrapText="1"/>
    </xf>
    <xf numFmtId="0" fontId="4" fillId="2" borderId="1" xfId="0" applyFont="1" applyFill="1" applyBorder="1" applyAlignment="1">
      <alignment horizontal="center" vertical="center"/>
    </xf>
    <xf numFmtId="0" fontId="5" fillId="0" borderId="0" xfId="0" applyFont="1" applyAlignment="1">
      <alignment horizontal="left" vertical="top"/>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8" fillId="0" borderId="0" xfId="0" applyFont="1" applyAlignment="1">
      <alignment horizontal="left" vertical="top"/>
    </xf>
    <xf numFmtId="0" fontId="10" fillId="4" borderId="0" xfId="2" applyFont="1" applyFill="1" applyAlignment="1">
      <alignment horizontal="right" vertical="top" wrapText="1"/>
    </xf>
    <xf numFmtId="0" fontId="10" fillId="4" borderId="0" xfId="2" applyFont="1" applyFill="1" applyAlignment="1">
      <alignment horizontal="left" vertical="top" wrapText="1"/>
    </xf>
    <xf numFmtId="0" fontId="9" fillId="0" borderId="0" xfId="2" applyAlignment="1">
      <alignment horizontal="left" vertical="center"/>
    </xf>
    <xf numFmtId="0" fontId="9" fillId="4" borderId="0" xfId="2" applyFill="1" applyAlignment="1">
      <alignment horizontal="left" vertical="top" wrapText="1"/>
    </xf>
    <xf numFmtId="0" fontId="11" fillId="4" borderId="0" xfId="2" applyFont="1" applyFill="1" applyAlignment="1">
      <alignment horizontal="right" vertical="top" wrapText="1"/>
    </xf>
    <xf numFmtId="0" fontId="11" fillId="4" borderId="0" xfId="2" applyFont="1" applyFill="1" applyAlignment="1">
      <alignment horizontal="left" vertical="top" wrapText="1"/>
    </xf>
    <xf numFmtId="0" fontId="12" fillId="4" borderId="4" xfId="2" applyFont="1" applyFill="1" applyBorder="1" applyAlignment="1">
      <alignment horizontal="left" vertical="top" wrapText="1"/>
    </xf>
    <xf numFmtId="0" fontId="9" fillId="4" borderId="4" xfId="2" applyFill="1" applyBorder="1" applyAlignment="1">
      <alignment horizontal="left" vertical="top" wrapText="1"/>
    </xf>
    <xf numFmtId="0" fontId="12" fillId="4" borderId="4" xfId="2" applyFont="1" applyFill="1" applyBorder="1" applyAlignment="1">
      <alignment horizontal="right" vertical="top" wrapText="1"/>
    </xf>
    <xf numFmtId="0" fontId="13" fillId="5" borderId="5" xfId="2" applyFont="1" applyFill="1" applyBorder="1" applyAlignment="1">
      <alignment horizontal="left" vertical="top" wrapText="1"/>
    </xf>
    <xf numFmtId="0" fontId="9" fillId="5" borderId="5" xfId="2" applyFill="1" applyBorder="1" applyAlignment="1">
      <alignment horizontal="left" vertical="top" wrapText="1"/>
    </xf>
    <xf numFmtId="0" fontId="13" fillId="5" borderId="5" xfId="2" applyFont="1" applyFill="1" applyBorder="1" applyAlignment="1">
      <alignment horizontal="justify" vertical="top" wrapText="1"/>
    </xf>
    <xf numFmtId="4" fontId="13" fillId="5" borderId="5" xfId="2" applyNumberFormat="1" applyFont="1" applyFill="1" applyBorder="1" applyAlignment="1">
      <alignment horizontal="right" vertical="top" wrapText="1"/>
    </xf>
    <xf numFmtId="0" fontId="13" fillId="6" borderId="0" xfId="2" applyFont="1" applyFill="1" applyAlignment="1">
      <alignment horizontal="left" vertical="top" wrapText="1"/>
    </xf>
    <xf numFmtId="0" fontId="9" fillId="6" borderId="0" xfId="2" applyFill="1" applyAlignment="1">
      <alignment horizontal="left" vertical="top" wrapText="1"/>
    </xf>
    <xf numFmtId="0" fontId="13" fillId="6" borderId="0" xfId="2" applyFont="1" applyFill="1" applyAlignment="1">
      <alignment horizontal="justify" vertical="top" wrapText="1"/>
    </xf>
    <xf numFmtId="4" fontId="13" fillId="6" borderId="0" xfId="2" applyNumberFormat="1" applyFont="1" applyFill="1" applyAlignment="1">
      <alignment horizontal="right" vertical="top" wrapText="1"/>
    </xf>
    <xf numFmtId="0" fontId="13" fillId="0" borderId="0" xfId="2" applyFont="1" applyAlignment="1">
      <alignment horizontal="left" vertical="top" wrapText="1"/>
    </xf>
    <xf numFmtId="0" fontId="11" fillId="0" borderId="0" xfId="2" applyFont="1" applyAlignment="1">
      <alignment horizontal="left" vertical="top" wrapText="1"/>
    </xf>
    <xf numFmtId="0" fontId="11" fillId="0" borderId="0" xfId="2" applyFont="1" applyAlignment="1">
      <alignment horizontal="justify" vertical="top" wrapText="1"/>
    </xf>
    <xf numFmtId="165" fontId="11" fillId="0" borderId="0" xfId="2" applyNumberFormat="1" applyFont="1" applyAlignment="1">
      <alignment horizontal="right" vertical="top" wrapText="1"/>
    </xf>
    <xf numFmtId="4" fontId="11" fillId="0" borderId="0" xfId="2" applyNumberFormat="1" applyFont="1" applyAlignment="1">
      <alignment horizontal="right" vertical="top" wrapText="1"/>
    </xf>
    <xf numFmtId="0" fontId="9" fillId="0" borderId="0" xfId="2" applyAlignment="1">
      <alignment horizontal="center" vertical="center" wrapText="1"/>
    </xf>
    <xf numFmtId="0" fontId="14" fillId="0" borderId="6" xfId="2" applyFont="1" applyBorder="1" applyAlignment="1">
      <alignment horizontal="left" vertical="top" wrapText="1"/>
    </xf>
    <xf numFmtId="0" fontId="14" fillId="0" borderId="6" xfId="2" applyFont="1" applyBorder="1" applyAlignment="1">
      <alignment horizontal="right" vertical="top" wrapText="1"/>
    </xf>
    <xf numFmtId="0" fontId="14" fillId="0" borderId="0" xfId="2" applyFont="1" applyAlignment="1">
      <alignment horizontal="left" vertical="top" wrapText="1"/>
    </xf>
    <xf numFmtId="0" fontId="11" fillId="0" borderId="7" xfId="2" applyFont="1" applyBorder="1" applyAlignment="1">
      <alignment horizontal="left" vertical="top" wrapText="1"/>
    </xf>
    <xf numFmtId="0" fontId="11" fillId="0" borderId="7" xfId="2" applyFont="1" applyBorder="1" applyAlignment="1">
      <alignment horizontal="right" vertical="top" wrapText="1"/>
    </xf>
    <xf numFmtId="165" fontId="11" fillId="0" borderId="7" xfId="2" applyNumberFormat="1" applyFont="1" applyBorder="1" applyAlignment="1">
      <alignment horizontal="right" vertical="top" wrapText="1"/>
    </xf>
    <xf numFmtId="165" fontId="14" fillId="0" borderId="7" xfId="2" applyNumberFormat="1" applyFont="1" applyBorder="1" applyAlignment="1">
      <alignment horizontal="right" vertical="top" wrapText="1"/>
    </xf>
    <xf numFmtId="165" fontId="15" fillId="0" borderId="7" xfId="2" applyNumberFormat="1" applyFont="1" applyBorder="1" applyAlignment="1">
      <alignment horizontal="right" vertical="top" wrapText="1"/>
    </xf>
    <xf numFmtId="0" fontId="9" fillId="0" borderId="7" xfId="2" applyBorder="1" applyAlignment="1">
      <alignment horizontal="center" vertical="center" wrapText="1"/>
    </xf>
    <xf numFmtId="0" fontId="11" fillId="0" borderId="0" xfId="2" applyFont="1" applyAlignment="1">
      <alignment horizontal="right" vertical="top" wrapText="1"/>
    </xf>
    <xf numFmtId="165" fontId="14" fillId="0" borderId="0" xfId="2" applyNumberFormat="1" applyFont="1" applyAlignment="1">
      <alignment horizontal="right" vertical="top" wrapText="1"/>
    </xf>
    <xf numFmtId="165" fontId="15" fillId="0" borderId="0" xfId="2" applyNumberFormat="1" applyFont="1" applyAlignment="1">
      <alignment horizontal="right" vertical="top" wrapText="1"/>
    </xf>
    <xf numFmtId="0" fontId="9" fillId="0" borderId="4" xfId="2" applyBorder="1" applyAlignment="1">
      <alignment horizontal="center" vertical="center" wrapText="1"/>
    </xf>
    <xf numFmtId="0" fontId="13" fillId="0" borderId="4" xfId="2" applyFont="1" applyBorder="1" applyAlignment="1">
      <alignment horizontal="left" vertical="top" wrapText="1"/>
    </xf>
    <xf numFmtId="165" fontId="13" fillId="0" borderId="4" xfId="2" applyNumberFormat="1" applyFont="1" applyBorder="1" applyAlignment="1">
      <alignment horizontal="right" vertical="top" wrapText="1"/>
    </xf>
    <xf numFmtId="4" fontId="13" fillId="0" borderId="4" xfId="2" applyNumberFormat="1" applyFont="1" applyBorder="1" applyAlignment="1">
      <alignment horizontal="right" vertical="top" wrapText="1"/>
    </xf>
    <xf numFmtId="0" fontId="13" fillId="0" borderId="5" xfId="2" applyFont="1" applyBorder="1" applyAlignment="1">
      <alignment horizontal="left" vertical="top" wrapText="1"/>
    </xf>
    <xf numFmtId="0" fontId="11" fillId="0" borderId="5" xfId="2" applyFont="1" applyBorder="1" applyAlignment="1">
      <alignment horizontal="left" vertical="top" wrapText="1"/>
    </xf>
    <xf numFmtId="0" fontId="11" fillId="0" borderId="5" xfId="2" applyFont="1" applyBorder="1" applyAlignment="1">
      <alignment horizontal="justify" vertical="top" wrapText="1"/>
    </xf>
    <xf numFmtId="165" fontId="11" fillId="0" borderId="5" xfId="2" applyNumberFormat="1" applyFont="1" applyBorder="1" applyAlignment="1">
      <alignment horizontal="right" vertical="top" wrapText="1"/>
    </xf>
    <xf numFmtId="4" fontId="11" fillId="0" borderId="5" xfId="2" applyNumberFormat="1" applyFont="1" applyBorder="1" applyAlignment="1">
      <alignment horizontal="right" vertical="top" wrapText="1"/>
    </xf>
    <xf numFmtId="0" fontId="13" fillId="6" borderId="4" xfId="2" applyFont="1" applyFill="1" applyBorder="1" applyAlignment="1">
      <alignment horizontal="left" vertical="top" wrapText="1"/>
    </xf>
    <xf numFmtId="0" fontId="9" fillId="6" borderId="4" xfId="2" applyFill="1" applyBorder="1" applyAlignment="1">
      <alignment horizontal="left" vertical="top" wrapText="1"/>
    </xf>
    <xf numFmtId="4" fontId="13" fillId="6" borderId="4" xfId="2" applyNumberFormat="1" applyFont="1" applyFill="1" applyBorder="1" applyAlignment="1">
      <alignment horizontal="right" vertical="top" wrapText="1"/>
    </xf>
    <xf numFmtId="0" fontId="13" fillId="6" borderId="5" xfId="2" applyFont="1" applyFill="1" applyBorder="1" applyAlignment="1">
      <alignment horizontal="left" vertical="top" wrapText="1"/>
    </xf>
    <xf numFmtId="0" fontId="9" fillId="6" borderId="5" xfId="2" applyFill="1" applyBorder="1" applyAlignment="1">
      <alignment horizontal="left" vertical="top" wrapText="1"/>
    </xf>
    <xf numFmtId="0" fontId="13" fillId="6" borderId="5" xfId="2" applyFont="1" applyFill="1" applyBorder="1" applyAlignment="1">
      <alignment horizontal="justify" vertical="top" wrapText="1"/>
    </xf>
    <xf numFmtId="4" fontId="13" fillId="6" borderId="5" xfId="2" applyNumberFormat="1" applyFont="1" applyFill="1" applyBorder="1" applyAlignment="1">
      <alignment horizontal="right" vertical="top" wrapText="1"/>
    </xf>
    <xf numFmtId="0" fontId="13" fillId="7" borderId="0" xfId="2" applyFont="1" applyFill="1" applyAlignment="1">
      <alignment horizontal="left" vertical="top" wrapText="1"/>
    </xf>
    <xf numFmtId="0" fontId="9" fillId="7" borderId="0" xfId="2" applyFill="1" applyAlignment="1">
      <alignment horizontal="left" vertical="top" wrapText="1"/>
    </xf>
    <xf numFmtId="0" fontId="13" fillId="7" borderId="0" xfId="2" applyFont="1" applyFill="1" applyAlignment="1">
      <alignment horizontal="justify" vertical="top" wrapText="1"/>
    </xf>
    <xf numFmtId="4" fontId="13" fillId="7" borderId="0" xfId="2" applyNumberFormat="1" applyFont="1" applyFill="1" applyAlignment="1">
      <alignment horizontal="right" vertical="top" wrapText="1"/>
    </xf>
    <xf numFmtId="0" fontId="13" fillId="7" borderId="4" xfId="2" applyFont="1" applyFill="1" applyBorder="1" applyAlignment="1">
      <alignment horizontal="left" vertical="top" wrapText="1"/>
    </xf>
    <xf numFmtId="0" fontId="9" fillId="7" borderId="4" xfId="2" applyFill="1" applyBorder="1" applyAlignment="1">
      <alignment horizontal="left" vertical="top" wrapText="1"/>
    </xf>
    <xf numFmtId="4" fontId="13" fillId="7" borderId="4" xfId="2" applyNumberFormat="1" applyFont="1" applyFill="1" applyBorder="1" applyAlignment="1">
      <alignment horizontal="right" vertical="top" wrapText="1"/>
    </xf>
    <xf numFmtId="0" fontId="13" fillId="7" borderId="5" xfId="2" applyFont="1" applyFill="1" applyBorder="1" applyAlignment="1">
      <alignment horizontal="left" vertical="top" wrapText="1"/>
    </xf>
    <xf numFmtId="0" fontId="9" fillId="7" borderId="5" xfId="2" applyFill="1" applyBorder="1" applyAlignment="1">
      <alignment horizontal="left" vertical="top" wrapText="1"/>
    </xf>
    <xf numFmtId="0" fontId="13" fillId="7" borderId="5" xfId="2" applyFont="1" applyFill="1" applyBorder="1" applyAlignment="1">
      <alignment horizontal="justify" vertical="top" wrapText="1"/>
    </xf>
    <xf numFmtId="4" fontId="13" fillId="7" borderId="5" xfId="2" applyNumberFormat="1" applyFont="1" applyFill="1" applyBorder="1" applyAlignment="1">
      <alignment horizontal="right" vertical="top" wrapText="1"/>
    </xf>
    <xf numFmtId="0" fontId="9" fillId="0" borderId="8" xfId="2" applyBorder="1" applyAlignment="1">
      <alignment horizontal="center" vertical="center" wrapText="1"/>
    </xf>
    <xf numFmtId="0" fontId="13" fillId="7" borderId="8" xfId="2" applyFont="1" applyFill="1" applyBorder="1" applyAlignment="1">
      <alignment horizontal="left" vertical="top" wrapText="1"/>
    </xf>
    <xf numFmtId="0" fontId="9" fillId="7" borderId="8" xfId="2" applyFill="1" applyBorder="1" applyAlignment="1">
      <alignment horizontal="left" vertical="top" wrapText="1"/>
    </xf>
    <xf numFmtId="4" fontId="13" fillId="7" borderId="8" xfId="2" applyNumberFormat="1" applyFont="1" applyFill="1" applyBorder="1" applyAlignment="1">
      <alignment horizontal="right" vertical="top" wrapText="1"/>
    </xf>
    <xf numFmtId="0" fontId="13" fillId="6" borderId="8" xfId="2" applyFont="1" applyFill="1" applyBorder="1" applyAlignment="1">
      <alignment horizontal="left" vertical="top" wrapText="1"/>
    </xf>
    <xf numFmtId="0" fontId="9" fillId="6" borderId="8" xfId="2" applyFill="1" applyBorder="1" applyAlignment="1">
      <alignment horizontal="left" vertical="top" wrapText="1"/>
    </xf>
    <xf numFmtId="4" fontId="13" fillId="6" borderId="8" xfId="2" applyNumberFormat="1" applyFont="1" applyFill="1" applyBorder="1" applyAlignment="1">
      <alignment horizontal="right" vertical="top" wrapText="1"/>
    </xf>
    <xf numFmtId="0" fontId="13" fillId="5" borderId="8" xfId="2" applyFont="1" applyFill="1" applyBorder="1" applyAlignment="1">
      <alignment horizontal="left" vertical="top" wrapText="1"/>
    </xf>
    <xf numFmtId="0" fontId="9" fillId="5" borderId="8" xfId="2" applyFill="1" applyBorder="1" applyAlignment="1">
      <alignment horizontal="left" vertical="top" wrapText="1"/>
    </xf>
    <xf numFmtId="4" fontId="13" fillId="5" borderId="8" xfId="2" applyNumberFormat="1" applyFont="1" applyFill="1" applyBorder="1" applyAlignment="1">
      <alignment horizontal="right" vertical="top" wrapText="1"/>
    </xf>
    <xf numFmtId="0" fontId="10" fillId="4" borderId="0" xfId="2" applyFont="1" applyFill="1" applyAlignment="1">
      <alignment horizontal="left" vertical="top"/>
    </xf>
    <xf numFmtId="0" fontId="9" fillId="0" borderId="0" xfId="2" applyAlignment="1">
      <alignment horizontal="left" vertical="center" wrapText="1"/>
    </xf>
    <xf numFmtId="0" fontId="24" fillId="0" borderId="0" xfId="3" applyAlignment="1">
      <alignment horizontal="left" vertical="center"/>
    </xf>
    <xf numFmtId="0" fontId="19" fillId="0" borderId="9" xfId="0" applyFont="1" applyBorder="1" applyAlignment="1">
      <alignment horizontal="justify" vertical="center" wrapText="1"/>
    </xf>
    <xf numFmtId="0" fontId="20" fillId="0" borderId="9" xfId="0" applyFont="1" applyBorder="1" applyAlignment="1">
      <alignment horizontal="justify" vertical="center" wrapText="1"/>
    </xf>
    <xf numFmtId="0" fontId="21" fillId="9" borderId="9" xfId="0" applyFont="1" applyFill="1" applyBorder="1" applyAlignment="1">
      <alignment horizontal="right" vertical="center" wrapText="1" indent="7"/>
    </xf>
    <xf numFmtId="0" fontId="22" fillId="9" borderId="9" xfId="0" applyFont="1" applyFill="1" applyBorder="1" applyAlignment="1">
      <alignment horizontal="right" vertical="center" wrapText="1" indent="7"/>
    </xf>
    <xf numFmtId="0" fontId="18" fillId="9" borderId="9" xfId="0" applyFont="1" applyFill="1" applyBorder="1" applyAlignment="1">
      <alignment horizontal="right" vertical="center" wrapText="1" indent="7"/>
    </xf>
    <xf numFmtId="0" fontId="18" fillId="8" borderId="9" xfId="0" applyFont="1" applyFill="1" applyBorder="1" applyAlignment="1">
      <alignment horizontal="center" vertical="center" wrapText="1"/>
    </xf>
    <xf numFmtId="0" fontId="2" fillId="0" borderId="3" xfId="0" quotePrefix="1" applyFont="1" applyBorder="1" applyAlignment="1">
      <alignment vertical="top" wrapText="1"/>
    </xf>
    <xf numFmtId="0" fontId="7" fillId="0" borderId="0" xfId="0" applyFont="1" applyAlignment="1">
      <alignment horizontal="left" wrapText="1"/>
    </xf>
    <xf numFmtId="164" fontId="2" fillId="0" borderId="0" xfId="0" applyNumberFormat="1" applyFont="1" applyFill="1" applyBorder="1" applyAlignment="1">
      <alignment vertical="top" wrapText="1"/>
    </xf>
    <xf numFmtId="0" fontId="26" fillId="0" borderId="0" xfId="0" applyFont="1"/>
    <xf numFmtId="0" fontId="26" fillId="0" borderId="0" xfId="0" applyFont="1" applyAlignment="1">
      <alignment horizontal="right" wrapText="1"/>
    </xf>
    <xf numFmtId="0" fontId="20" fillId="0" borderId="9" xfId="0" applyFont="1" applyBorder="1" applyAlignment="1">
      <alignment vertical="center" wrapText="1"/>
    </xf>
    <xf numFmtId="8" fontId="20" fillId="0" borderId="9" xfId="0" applyNumberFormat="1" applyFont="1" applyBorder="1" applyAlignment="1">
      <alignment vertical="center" wrapText="1"/>
    </xf>
    <xf numFmtId="44" fontId="16" fillId="9" borderId="9" xfId="1" applyFont="1" applyFill="1" applyBorder="1" applyAlignment="1">
      <alignment vertical="center" wrapText="1"/>
    </xf>
    <xf numFmtId="44" fontId="16" fillId="9" borderId="9" xfId="0" applyNumberFormat="1" applyFont="1" applyFill="1" applyBorder="1" applyAlignment="1">
      <alignment vertical="center" wrapText="1"/>
    </xf>
    <xf numFmtId="44" fontId="17" fillId="9" borderId="9" xfId="0" applyNumberFormat="1" applyFont="1" applyFill="1" applyBorder="1" applyAlignment="1">
      <alignment vertical="center" wrapText="1"/>
    </xf>
    <xf numFmtId="0" fontId="0" fillId="0" borderId="0" xfId="0" applyAlignment="1"/>
  </cellXfs>
  <cellStyles count="4">
    <cellStyle name="Hipervínculo" xfId="3" builtinId="8"/>
    <cellStyle name="Moneda" xfId="1" builtinId="4"/>
    <cellStyle name="Normal" xfId="0" builtinId="0"/>
    <cellStyle name="Normal 2" xfId="2" xr:uid="{2E02F87D-4931-4EF2-B9EE-AB7BBCBA97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A088-BD88-4D7E-B6A3-86C59828246B}">
  <sheetPr>
    <pageSetUpPr fitToPage="1"/>
  </sheetPr>
  <dimension ref="A1:H412"/>
  <sheetViews>
    <sheetView zoomScale="85" zoomScaleNormal="85" workbookViewId="0">
      <pane ySplit="8" topLeftCell="A9" activePane="bottomLeft" state="frozen"/>
      <selection pane="bottomLeft" sqref="A1:XFD14"/>
    </sheetView>
  </sheetViews>
  <sheetFormatPr baseColWidth="10" defaultColWidth="9.140625" defaultRowHeight="15"/>
  <cols>
    <col min="1" max="1" width="15.5703125" customWidth="1"/>
    <col min="2" max="2" width="6.28515625" customWidth="1"/>
    <col min="3" max="3" width="11.7109375" customWidth="1"/>
    <col min="4" max="4" width="3.85546875" customWidth="1"/>
    <col min="5" max="5" width="72" style="1" customWidth="1"/>
    <col min="6" max="6" width="11.7109375" customWidth="1"/>
    <col min="7" max="7" width="15.5703125" customWidth="1"/>
    <col min="8" max="8" width="19.5703125" customWidth="1"/>
  </cols>
  <sheetData>
    <row r="1" spans="1:8" ht="20.25">
      <c r="A1" s="16" t="s">
        <v>415</v>
      </c>
    </row>
    <row r="2" spans="1:8" ht="35.25" customHeight="1">
      <c r="A2" s="99" t="s">
        <v>1068</v>
      </c>
      <c r="B2" s="99"/>
      <c r="C2" s="99"/>
      <c r="D2" s="99"/>
      <c r="E2" s="99"/>
      <c r="F2" s="99"/>
      <c r="G2" s="99"/>
      <c r="H2" s="99"/>
    </row>
    <row r="3" spans="1:8" ht="35.25" customHeight="1">
      <c r="A3" s="99" t="s">
        <v>1061</v>
      </c>
      <c r="B3" s="99"/>
      <c r="C3" s="99"/>
      <c r="D3" s="99"/>
      <c r="E3" s="99"/>
      <c r="F3" s="99"/>
      <c r="G3" s="99"/>
      <c r="H3" s="99"/>
    </row>
    <row r="5" spans="1:8" ht="35.25">
      <c r="A5" s="14"/>
      <c r="B5" s="14"/>
      <c r="C5" s="14"/>
      <c r="D5" s="14"/>
      <c r="E5" s="15" t="s">
        <v>414</v>
      </c>
      <c r="F5" s="14"/>
      <c r="G5" s="14"/>
      <c r="H5" s="14"/>
    </row>
    <row r="6" spans="1:8" ht="18">
      <c r="A6" s="13" t="s">
        <v>413</v>
      </c>
      <c r="B6" s="13" t="s">
        <v>412</v>
      </c>
    </row>
    <row r="8" spans="1:8">
      <c r="F8" s="12" t="s">
        <v>411</v>
      </c>
      <c r="G8" s="12" t="s">
        <v>410</v>
      </c>
      <c r="H8" s="12" t="s">
        <v>409</v>
      </c>
    </row>
    <row r="11" spans="1:8">
      <c r="C11" s="11" t="s">
        <v>15</v>
      </c>
      <c r="D11" s="11" t="s">
        <v>14</v>
      </c>
      <c r="E11" s="11" t="s">
        <v>13</v>
      </c>
    </row>
    <row r="12" spans="1:8">
      <c r="C12" s="11" t="s">
        <v>12</v>
      </c>
      <c r="D12" s="11" t="s">
        <v>316</v>
      </c>
      <c r="E12" s="11" t="s">
        <v>315</v>
      </c>
    </row>
    <row r="13" spans="1:8">
      <c r="C13" s="11" t="s">
        <v>9</v>
      </c>
      <c r="D13" s="11" t="s">
        <v>14</v>
      </c>
      <c r="E13" s="11" t="s">
        <v>52</v>
      </c>
    </row>
    <row r="14" spans="1:8">
      <c r="A14" s="9" t="s">
        <v>406</v>
      </c>
      <c r="B14" s="10" t="s">
        <v>5</v>
      </c>
      <c r="C14" s="9" t="s">
        <v>49</v>
      </c>
      <c r="D14" s="8" t="s">
        <v>3</v>
      </c>
      <c r="E14" s="7" t="s">
        <v>48</v>
      </c>
      <c r="F14" s="6">
        <v>1496.31</v>
      </c>
      <c r="G14" s="5">
        <v>1</v>
      </c>
      <c r="H14" s="4">
        <f>F14*G14</f>
        <v>1496.31</v>
      </c>
    </row>
    <row r="15" spans="1:8">
      <c r="A15" s="9" t="s">
        <v>406</v>
      </c>
      <c r="B15" s="10" t="s">
        <v>25</v>
      </c>
      <c r="C15" s="9" t="s">
        <v>46</v>
      </c>
      <c r="D15" s="8" t="s">
        <v>3</v>
      </c>
      <c r="E15" s="7" t="s">
        <v>45</v>
      </c>
      <c r="F15" s="6">
        <v>532.08000000000004</v>
      </c>
      <c r="G15" s="5">
        <v>6</v>
      </c>
      <c r="H15" s="4">
        <f>F15*G15</f>
        <v>3192.4800000000005</v>
      </c>
    </row>
    <row r="16" spans="1:8">
      <c r="A16" s="9" t="s">
        <v>406</v>
      </c>
      <c r="B16" s="10" t="s">
        <v>47</v>
      </c>
      <c r="C16" s="9" t="s">
        <v>43</v>
      </c>
      <c r="D16" s="8" t="s">
        <v>3</v>
      </c>
      <c r="E16" s="7" t="s">
        <v>42</v>
      </c>
      <c r="F16" s="6">
        <v>357.76</v>
      </c>
      <c r="G16" s="5">
        <v>1</v>
      </c>
      <c r="H16" s="4">
        <f>F16*G16</f>
        <v>357.76</v>
      </c>
    </row>
    <row r="17" spans="1:8" ht="24">
      <c r="A17" s="9" t="s">
        <v>406</v>
      </c>
      <c r="B17" s="10" t="s">
        <v>44</v>
      </c>
      <c r="C17" s="9" t="s">
        <v>408</v>
      </c>
      <c r="D17" s="8" t="s">
        <v>3</v>
      </c>
      <c r="E17" s="7" t="s">
        <v>407</v>
      </c>
      <c r="F17" s="6">
        <v>1111.1300000000001</v>
      </c>
      <c r="G17" s="5">
        <v>1</v>
      </c>
      <c r="H17" s="4">
        <f>F17*G17</f>
        <v>1111.1300000000001</v>
      </c>
    </row>
    <row r="18" spans="1:8">
      <c r="A18" s="9" t="s">
        <v>406</v>
      </c>
      <c r="B18" s="10" t="s">
        <v>41</v>
      </c>
      <c r="C18" s="9" t="s">
        <v>405</v>
      </c>
      <c r="D18" s="8" t="s">
        <v>3</v>
      </c>
      <c r="E18" s="7" t="s">
        <v>404</v>
      </c>
      <c r="F18" s="6">
        <v>5529.72</v>
      </c>
      <c r="G18" s="5">
        <v>1</v>
      </c>
      <c r="H18" s="4">
        <f>F18*G18</f>
        <v>5529.72</v>
      </c>
    </row>
    <row r="19" spans="1:8">
      <c r="E19" s="3" t="s">
        <v>403</v>
      </c>
      <c r="H19" s="2">
        <f>SUM(H14:H18)</f>
        <v>11687.400000000001</v>
      </c>
    </row>
    <row r="21" spans="1:8">
      <c r="C21" s="11" t="s">
        <v>15</v>
      </c>
      <c r="D21" s="11" t="s">
        <v>14</v>
      </c>
      <c r="E21" s="11" t="s">
        <v>13</v>
      </c>
    </row>
    <row r="22" spans="1:8">
      <c r="C22" s="11" t="s">
        <v>12</v>
      </c>
      <c r="D22" s="11" t="s">
        <v>316</v>
      </c>
      <c r="E22" s="11" t="s">
        <v>315</v>
      </c>
    </row>
    <row r="23" spans="1:8">
      <c r="C23" s="11" t="s">
        <v>9</v>
      </c>
      <c r="D23" s="11" t="s">
        <v>99</v>
      </c>
      <c r="E23" s="11" t="s">
        <v>398</v>
      </c>
    </row>
    <row r="24" spans="1:8">
      <c r="C24" s="11" t="s">
        <v>69</v>
      </c>
      <c r="D24" s="11" t="s">
        <v>14</v>
      </c>
      <c r="E24" s="11" t="s">
        <v>311</v>
      </c>
    </row>
    <row r="25" spans="1:8" ht="24">
      <c r="A25" s="9" t="s">
        <v>400</v>
      </c>
      <c r="B25" s="10" t="s">
        <v>5</v>
      </c>
      <c r="C25" s="9" t="s">
        <v>281</v>
      </c>
      <c r="D25" s="8" t="s">
        <v>56</v>
      </c>
      <c r="E25" s="7" t="s">
        <v>280</v>
      </c>
      <c r="F25" s="6">
        <v>35.39</v>
      </c>
      <c r="G25" s="5">
        <v>15</v>
      </c>
      <c r="H25" s="4">
        <f t="shared" ref="H25:H37" si="0">F25*G25</f>
        <v>530.85</v>
      </c>
    </row>
    <row r="26" spans="1:8" ht="24">
      <c r="A26" s="9" t="s">
        <v>400</v>
      </c>
      <c r="B26" s="10" t="s">
        <v>25</v>
      </c>
      <c r="C26" s="9" t="s">
        <v>402</v>
      </c>
      <c r="D26" s="8" t="s">
        <v>3</v>
      </c>
      <c r="E26" s="7" t="s">
        <v>401</v>
      </c>
      <c r="F26" s="6">
        <v>248.96</v>
      </c>
      <c r="G26" s="5">
        <v>2</v>
      </c>
      <c r="H26" s="4">
        <f t="shared" si="0"/>
        <v>497.92</v>
      </c>
    </row>
    <row r="27" spans="1:8" ht="24">
      <c r="A27" s="9" t="s">
        <v>400</v>
      </c>
      <c r="B27" s="10" t="s">
        <v>47</v>
      </c>
      <c r="C27" s="9" t="s">
        <v>397</v>
      </c>
      <c r="D27" s="8" t="s">
        <v>56</v>
      </c>
      <c r="E27" s="7" t="s">
        <v>396</v>
      </c>
      <c r="F27" s="6">
        <v>23.06</v>
      </c>
      <c r="G27" s="5">
        <v>16</v>
      </c>
      <c r="H27" s="4">
        <f t="shared" si="0"/>
        <v>368.96</v>
      </c>
    </row>
    <row r="28" spans="1:8" ht="24">
      <c r="A28" s="9" t="s">
        <v>400</v>
      </c>
      <c r="B28" s="10" t="s">
        <v>44</v>
      </c>
      <c r="C28" s="9" t="s">
        <v>188</v>
      </c>
      <c r="D28" s="8" t="s">
        <v>56</v>
      </c>
      <c r="E28" s="7" t="s">
        <v>187</v>
      </c>
      <c r="F28" s="6">
        <v>10.89</v>
      </c>
      <c r="G28" s="5">
        <v>40</v>
      </c>
      <c r="H28" s="4">
        <f t="shared" si="0"/>
        <v>435.6</v>
      </c>
    </row>
    <row r="29" spans="1:8">
      <c r="A29" s="9" t="s">
        <v>400</v>
      </c>
      <c r="B29" s="10" t="s">
        <v>41</v>
      </c>
      <c r="C29" s="9" t="s">
        <v>257</v>
      </c>
      <c r="D29" s="8" t="s">
        <v>3</v>
      </c>
      <c r="E29" s="7" t="s">
        <v>256</v>
      </c>
      <c r="F29" s="6">
        <v>61.54</v>
      </c>
      <c r="G29" s="5">
        <v>18</v>
      </c>
      <c r="H29" s="4">
        <f t="shared" si="0"/>
        <v>1107.72</v>
      </c>
    </row>
    <row r="30" spans="1:8">
      <c r="A30" s="9" t="s">
        <v>400</v>
      </c>
      <c r="B30" s="10" t="s">
        <v>38</v>
      </c>
      <c r="C30" s="9" t="s">
        <v>368</v>
      </c>
      <c r="D30" s="8" t="s">
        <v>3</v>
      </c>
      <c r="E30" s="7" t="s">
        <v>367</v>
      </c>
      <c r="F30" s="6">
        <v>28.1</v>
      </c>
      <c r="G30" s="5">
        <v>6</v>
      </c>
      <c r="H30" s="4">
        <f t="shared" si="0"/>
        <v>168.60000000000002</v>
      </c>
    </row>
    <row r="31" spans="1:8">
      <c r="A31" s="9" t="s">
        <v>400</v>
      </c>
      <c r="B31" s="10" t="s">
        <v>34</v>
      </c>
      <c r="C31" s="9" t="s">
        <v>366</v>
      </c>
      <c r="D31" s="8" t="s">
        <v>3</v>
      </c>
      <c r="E31" s="7" t="s">
        <v>365</v>
      </c>
      <c r="F31" s="6">
        <v>37.58</v>
      </c>
      <c r="G31" s="5">
        <v>6</v>
      </c>
      <c r="H31" s="4">
        <f t="shared" si="0"/>
        <v>225.48</v>
      </c>
    </row>
    <row r="32" spans="1:8">
      <c r="A32" s="9" t="s">
        <v>400</v>
      </c>
      <c r="B32" s="10" t="s">
        <v>83</v>
      </c>
      <c r="C32" s="9" t="s">
        <v>360</v>
      </c>
      <c r="D32" s="8" t="s">
        <v>3</v>
      </c>
      <c r="E32" s="7" t="s">
        <v>359</v>
      </c>
      <c r="F32" s="6">
        <v>355.14</v>
      </c>
      <c r="G32" s="5">
        <v>1</v>
      </c>
      <c r="H32" s="4">
        <f t="shared" si="0"/>
        <v>355.14</v>
      </c>
    </row>
    <row r="33" spans="1:8">
      <c r="A33" s="9" t="s">
        <v>400</v>
      </c>
      <c r="B33" s="10" t="s">
        <v>80</v>
      </c>
      <c r="C33" s="9" t="s">
        <v>275</v>
      </c>
      <c r="D33" s="8" t="s">
        <v>3</v>
      </c>
      <c r="E33" s="7" t="s">
        <v>274</v>
      </c>
      <c r="F33" s="6">
        <v>418.48</v>
      </c>
      <c r="G33" s="5">
        <v>6</v>
      </c>
      <c r="H33" s="4">
        <f t="shared" si="0"/>
        <v>2510.88</v>
      </c>
    </row>
    <row r="34" spans="1:8">
      <c r="A34" s="9" t="s">
        <v>400</v>
      </c>
      <c r="B34" s="10" t="s">
        <v>77</v>
      </c>
      <c r="C34" s="9" t="s">
        <v>297</v>
      </c>
      <c r="D34" s="8" t="s">
        <v>3</v>
      </c>
      <c r="E34" s="7" t="s">
        <v>296</v>
      </c>
      <c r="F34" s="6">
        <v>20536.63</v>
      </c>
      <c r="G34" s="5">
        <v>3</v>
      </c>
      <c r="H34" s="4">
        <f t="shared" si="0"/>
        <v>61609.89</v>
      </c>
    </row>
    <row r="35" spans="1:8" ht="24">
      <c r="A35" s="9" t="s">
        <v>400</v>
      </c>
      <c r="B35" s="10" t="s">
        <v>73</v>
      </c>
      <c r="C35" s="9" t="s">
        <v>240</v>
      </c>
      <c r="D35" s="8" t="s">
        <v>56</v>
      </c>
      <c r="E35" s="7" t="s">
        <v>239</v>
      </c>
      <c r="F35" s="6">
        <v>21.36</v>
      </c>
      <c r="G35" s="5">
        <v>15</v>
      </c>
      <c r="H35" s="4">
        <f t="shared" si="0"/>
        <v>320.39999999999998</v>
      </c>
    </row>
    <row r="36" spans="1:8" ht="24">
      <c r="A36" s="9" t="s">
        <v>400</v>
      </c>
      <c r="B36" s="10" t="s">
        <v>198</v>
      </c>
      <c r="C36" s="9" t="s">
        <v>243</v>
      </c>
      <c r="D36" s="8" t="s">
        <v>56</v>
      </c>
      <c r="E36" s="7" t="s">
        <v>242</v>
      </c>
      <c r="F36" s="6">
        <v>15.78</v>
      </c>
      <c r="G36" s="5">
        <v>16</v>
      </c>
      <c r="H36" s="4">
        <f t="shared" si="0"/>
        <v>252.48</v>
      </c>
    </row>
    <row r="37" spans="1:8" ht="24">
      <c r="A37" s="9" t="s">
        <v>400</v>
      </c>
      <c r="B37" s="10" t="s">
        <v>195</v>
      </c>
      <c r="C37" s="9" t="s">
        <v>353</v>
      </c>
      <c r="D37" s="8" t="s">
        <v>56</v>
      </c>
      <c r="E37" s="7" t="s">
        <v>352</v>
      </c>
      <c r="F37" s="6">
        <v>11.72</v>
      </c>
      <c r="G37" s="5">
        <v>40</v>
      </c>
      <c r="H37" s="4">
        <f t="shared" si="0"/>
        <v>468.8</v>
      </c>
    </row>
    <row r="38" spans="1:8">
      <c r="E38" s="3" t="s">
        <v>399</v>
      </c>
      <c r="H38" s="2">
        <f>SUM(H25:H37)</f>
        <v>68852.719999999987</v>
      </c>
    </row>
    <row r="40" spans="1:8">
      <c r="C40" s="11" t="s">
        <v>15</v>
      </c>
      <c r="D40" s="11" t="s">
        <v>14</v>
      </c>
      <c r="E40" s="11" t="s">
        <v>13</v>
      </c>
    </row>
    <row r="41" spans="1:8">
      <c r="C41" s="11" t="s">
        <v>12</v>
      </c>
      <c r="D41" s="11" t="s">
        <v>316</v>
      </c>
      <c r="E41" s="11" t="s">
        <v>315</v>
      </c>
    </row>
    <row r="42" spans="1:8">
      <c r="C42" s="11" t="s">
        <v>9</v>
      </c>
      <c r="D42" s="11" t="s">
        <v>99</v>
      </c>
      <c r="E42" s="11" t="s">
        <v>398</v>
      </c>
    </row>
    <row r="43" spans="1:8">
      <c r="C43" s="11" t="s">
        <v>69</v>
      </c>
      <c r="D43" s="11" t="s">
        <v>99</v>
      </c>
      <c r="E43" s="11" t="s">
        <v>276</v>
      </c>
    </row>
    <row r="44" spans="1:8" ht="24">
      <c r="A44" s="9" t="s">
        <v>389</v>
      </c>
      <c r="B44" s="10" t="s">
        <v>5</v>
      </c>
      <c r="C44" s="9" t="s">
        <v>281</v>
      </c>
      <c r="D44" s="8" t="s">
        <v>56</v>
      </c>
      <c r="E44" s="7" t="s">
        <v>280</v>
      </c>
      <c r="F44" s="6">
        <v>35.39</v>
      </c>
      <c r="G44" s="5">
        <v>15</v>
      </c>
      <c r="H44" s="4">
        <f t="shared" ref="H44:H56" si="1">F44*G44</f>
        <v>530.85</v>
      </c>
    </row>
    <row r="45" spans="1:8" ht="24">
      <c r="A45" s="9" t="s">
        <v>389</v>
      </c>
      <c r="B45" s="10" t="s">
        <v>25</v>
      </c>
      <c r="C45" s="9" t="s">
        <v>397</v>
      </c>
      <c r="D45" s="8" t="s">
        <v>56</v>
      </c>
      <c r="E45" s="7" t="s">
        <v>396</v>
      </c>
      <c r="F45" s="6">
        <v>23.06</v>
      </c>
      <c r="G45" s="5">
        <v>24</v>
      </c>
      <c r="H45" s="4">
        <f t="shared" si="1"/>
        <v>553.43999999999994</v>
      </c>
    </row>
    <row r="46" spans="1:8" ht="24">
      <c r="A46" s="9" t="s">
        <v>389</v>
      </c>
      <c r="B46" s="10" t="s">
        <v>47</v>
      </c>
      <c r="C46" s="9" t="s">
        <v>188</v>
      </c>
      <c r="D46" s="8" t="s">
        <v>56</v>
      </c>
      <c r="E46" s="7" t="s">
        <v>187</v>
      </c>
      <c r="F46" s="6">
        <v>10.89</v>
      </c>
      <c r="G46" s="5">
        <v>50</v>
      </c>
      <c r="H46" s="4">
        <f t="shared" si="1"/>
        <v>544.5</v>
      </c>
    </row>
    <row r="47" spans="1:8">
      <c r="A47" s="9" t="s">
        <v>389</v>
      </c>
      <c r="B47" s="10" t="s">
        <v>44</v>
      </c>
      <c r="C47" s="9" t="s">
        <v>257</v>
      </c>
      <c r="D47" s="8" t="s">
        <v>3</v>
      </c>
      <c r="E47" s="7" t="s">
        <v>256</v>
      </c>
      <c r="F47" s="6">
        <v>61.54</v>
      </c>
      <c r="G47" s="5">
        <v>12</v>
      </c>
      <c r="H47" s="4">
        <f t="shared" si="1"/>
        <v>738.48</v>
      </c>
    </row>
    <row r="48" spans="1:8" ht="24">
      <c r="A48" s="9" t="s">
        <v>389</v>
      </c>
      <c r="B48" s="10" t="s">
        <v>41</v>
      </c>
      <c r="C48" s="9" t="s">
        <v>395</v>
      </c>
      <c r="D48" s="8" t="s">
        <v>3</v>
      </c>
      <c r="E48" s="7" t="s">
        <v>394</v>
      </c>
      <c r="F48" s="6">
        <v>2530.98</v>
      </c>
      <c r="G48" s="5">
        <v>3</v>
      </c>
      <c r="H48" s="4">
        <f t="shared" si="1"/>
        <v>7592.9400000000005</v>
      </c>
    </row>
    <row r="49" spans="1:8">
      <c r="A49" s="9" t="s">
        <v>389</v>
      </c>
      <c r="B49" s="10" t="s">
        <v>38</v>
      </c>
      <c r="C49" s="9" t="s">
        <v>393</v>
      </c>
      <c r="D49" s="8" t="s">
        <v>3</v>
      </c>
      <c r="E49" s="7" t="s">
        <v>392</v>
      </c>
      <c r="F49" s="6">
        <v>91.75</v>
      </c>
      <c r="G49" s="5">
        <v>6</v>
      </c>
      <c r="H49" s="4">
        <f t="shared" si="1"/>
        <v>550.5</v>
      </c>
    </row>
    <row r="50" spans="1:8">
      <c r="A50" s="9" t="s">
        <v>389</v>
      </c>
      <c r="B50" s="10" t="s">
        <v>34</v>
      </c>
      <c r="C50" s="9" t="s">
        <v>391</v>
      </c>
      <c r="D50" s="8" t="s">
        <v>3</v>
      </c>
      <c r="E50" s="7" t="s">
        <v>390</v>
      </c>
      <c r="F50" s="6">
        <v>46.2</v>
      </c>
      <c r="G50" s="5">
        <v>3</v>
      </c>
      <c r="H50" s="4">
        <f t="shared" si="1"/>
        <v>138.60000000000002</v>
      </c>
    </row>
    <row r="51" spans="1:8">
      <c r="A51" s="9" t="s">
        <v>389</v>
      </c>
      <c r="B51" s="10" t="s">
        <v>83</v>
      </c>
      <c r="C51" s="9" t="s">
        <v>248</v>
      </c>
      <c r="D51" s="8" t="s">
        <v>3</v>
      </c>
      <c r="E51" s="7" t="s">
        <v>247</v>
      </c>
      <c r="F51" s="6">
        <v>53.72</v>
      </c>
      <c r="G51" s="5">
        <v>3</v>
      </c>
      <c r="H51" s="4">
        <f t="shared" si="1"/>
        <v>161.16</v>
      </c>
    </row>
    <row r="52" spans="1:8">
      <c r="A52" s="9" t="s">
        <v>389</v>
      </c>
      <c r="B52" s="10" t="s">
        <v>80</v>
      </c>
      <c r="C52" s="9" t="s">
        <v>255</v>
      </c>
      <c r="D52" s="8" t="s">
        <v>254</v>
      </c>
      <c r="E52" s="7" t="s">
        <v>253</v>
      </c>
      <c r="F52" s="6">
        <v>442.75</v>
      </c>
      <c r="G52" s="5">
        <v>1</v>
      </c>
      <c r="H52" s="4">
        <f t="shared" si="1"/>
        <v>442.75</v>
      </c>
    </row>
    <row r="53" spans="1:8">
      <c r="A53" s="9" t="s">
        <v>389</v>
      </c>
      <c r="B53" s="10" t="s">
        <v>77</v>
      </c>
      <c r="C53" s="9" t="s">
        <v>275</v>
      </c>
      <c r="D53" s="8" t="s">
        <v>3</v>
      </c>
      <c r="E53" s="7" t="s">
        <v>274</v>
      </c>
      <c r="F53" s="6">
        <v>418.48</v>
      </c>
      <c r="G53" s="5">
        <v>6</v>
      </c>
      <c r="H53" s="4">
        <f t="shared" si="1"/>
        <v>2510.88</v>
      </c>
    </row>
    <row r="54" spans="1:8" ht="24">
      <c r="A54" s="9" t="s">
        <v>389</v>
      </c>
      <c r="B54" s="10" t="s">
        <v>73</v>
      </c>
      <c r="C54" s="9" t="s">
        <v>240</v>
      </c>
      <c r="D54" s="8" t="s">
        <v>56</v>
      </c>
      <c r="E54" s="7" t="s">
        <v>239</v>
      </c>
      <c r="F54" s="6">
        <v>21.36</v>
      </c>
      <c r="G54" s="5">
        <v>15</v>
      </c>
      <c r="H54" s="4">
        <f t="shared" si="1"/>
        <v>320.39999999999998</v>
      </c>
    </row>
    <row r="55" spans="1:8" ht="24">
      <c r="A55" s="9" t="s">
        <v>389</v>
      </c>
      <c r="B55" s="10" t="s">
        <v>198</v>
      </c>
      <c r="C55" s="9" t="s">
        <v>243</v>
      </c>
      <c r="D55" s="8" t="s">
        <v>56</v>
      </c>
      <c r="E55" s="7" t="s">
        <v>242</v>
      </c>
      <c r="F55" s="6">
        <v>15.78</v>
      </c>
      <c r="G55" s="5">
        <v>24</v>
      </c>
      <c r="H55" s="4">
        <f t="shared" si="1"/>
        <v>378.71999999999997</v>
      </c>
    </row>
    <row r="56" spans="1:8" ht="24">
      <c r="A56" s="9" t="s">
        <v>389</v>
      </c>
      <c r="B56" s="10" t="s">
        <v>195</v>
      </c>
      <c r="C56" s="9" t="s">
        <v>353</v>
      </c>
      <c r="D56" s="8" t="s">
        <v>56</v>
      </c>
      <c r="E56" s="7" t="s">
        <v>352</v>
      </c>
      <c r="F56" s="6">
        <v>11.72</v>
      </c>
      <c r="G56" s="5">
        <v>50</v>
      </c>
      <c r="H56" s="4">
        <f t="shared" si="1"/>
        <v>586</v>
      </c>
    </row>
    <row r="57" spans="1:8">
      <c r="E57" s="3" t="s">
        <v>388</v>
      </c>
      <c r="H57" s="2">
        <f>SUM(H44:H56)</f>
        <v>15049.220000000001</v>
      </c>
    </row>
    <row r="59" spans="1:8">
      <c r="C59" s="11" t="s">
        <v>15</v>
      </c>
      <c r="D59" s="11" t="s">
        <v>14</v>
      </c>
      <c r="E59" s="11" t="s">
        <v>13</v>
      </c>
    </row>
    <row r="60" spans="1:8">
      <c r="C60" s="11" t="s">
        <v>12</v>
      </c>
      <c r="D60" s="11" t="s">
        <v>316</v>
      </c>
      <c r="E60" s="11" t="s">
        <v>315</v>
      </c>
    </row>
    <row r="61" spans="1:8">
      <c r="C61" s="11" t="s">
        <v>9</v>
      </c>
      <c r="D61" s="11" t="s">
        <v>68</v>
      </c>
      <c r="E61" s="11" t="s">
        <v>222</v>
      </c>
    </row>
    <row r="62" spans="1:8">
      <c r="C62" s="11" t="s">
        <v>69</v>
      </c>
      <c r="D62" s="11" t="s">
        <v>14</v>
      </c>
      <c r="E62" s="11" t="s">
        <v>387</v>
      </c>
    </row>
    <row r="63" spans="1:8">
      <c r="A63" s="9" t="s">
        <v>351</v>
      </c>
      <c r="B63" s="10" t="s">
        <v>5</v>
      </c>
      <c r="C63" s="9" t="s">
        <v>220</v>
      </c>
      <c r="D63" s="8" t="s">
        <v>3</v>
      </c>
      <c r="E63" s="7" t="s">
        <v>219</v>
      </c>
      <c r="F63" s="6">
        <v>9268.9</v>
      </c>
      <c r="G63" s="5">
        <v>1</v>
      </c>
      <c r="H63" s="4">
        <f t="shared" ref="H63:H90" si="2">F63*G63</f>
        <v>9268.9</v>
      </c>
    </row>
    <row r="64" spans="1:8">
      <c r="A64" s="9" t="s">
        <v>351</v>
      </c>
      <c r="B64" s="10" t="s">
        <v>25</v>
      </c>
      <c r="C64" s="9" t="s">
        <v>176</v>
      </c>
      <c r="D64" s="8" t="s">
        <v>3</v>
      </c>
      <c r="E64" s="7" t="s">
        <v>175</v>
      </c>
      <c r="F64" s="6">
        <v>627.11</v>
      </c>
      <c r="G64" s="5">
        <v>1</v>
      </c>
      <c r="H64" s="4">
        <f t="shared" si="2"/>
        <v>627.11</v>
      </c>
    </row>
    <row r="65" spans="1:8">
      <c r="A65" s="9" t="s">
        <v>351</v>
      </c>
      <c r="B65" s="10" t="s">
        <v>47</v>
      </c>
      <c r="C65" s="9" t="s">
        <v>386</v>
      </c>
      <c r="D65" s="8" t="s">
        <v>3</v>
      </c>
      <c r="E65" s="7" t="s">
        <v>385</v>
      </c>
      <c r="F65" s="6">
        <v>2283.17</v>
      </c>
      <c r="G65" s="5">
        <v>1</v>
      </c>
      <c r="H65" s="4">
        <f t="shared" si="2"/>
        <v>2283.17</v>
      </c>
    </row>
    <row r="66" spans="1:8">
      <c r="A66" s="9" t="s">
        <v>351</v>
      </c>
      <c r="B66" s="10" t="s">
        <v>44</v>
      </c>
      <c r="C66" s="9" t="s">
        <v>384</v>
      </c>
      <c r="D66" s="8" t="s">
        <v>3</v>
      </c>
      <c r="E66" s="7" t="s">
        <v>383</v>
      </c>
      <c r="F66" s="6">
        <v>951.6</v>
      </c>
      <c r="G66" s="5">
        <v>1</v>
      </c>
      <c r="H66" s="4">
        <f t="shared" si="2"/>
        <v>951.6</v>
      </c>
    </row>
    <row r="67" spans="1:8">
      <c r="A67" s="9" t="s">
        <v>351</v>
      </c>
      <c r="B67" s="10" t="s">
        <v>41</v>
      </c>
      <c r="C67" s="9" t="s">
        <v>382</v>
      </c>
      <c r="D67" s="8" t="s">
        <v>3</v>
      </c>
      <c r="E67" s="7" t="s">
        <v>381</v>
      </c>
      <c r="F67" s="6">
        <v>889.24</v>
      </c>
      <c r="G67" s="5">
        <v>1</v>
      </c>
      <c r="H67" s="4">
        <f t="shared" si="2"/>
        <v>889.24</v>
      </c>
    </row>
    <row r="68" spans="1:8">
      <c r="A68" s="9" t="s">
        <v>351</v>
      </c>
      <c r="B68" s="10" t="s">
        <v>38</v>
      </c>
      <c r="C68" s="9" t="s">
        <v>380</v>
      </c>
      <c r="D68" s="8" t="s">
        <v>3</v>
      </c>
      <c r="E68" s="7" t="s">
        <v>379</v>
      </c>
      <c r="F68" s="6">
        <v>746.46</v>
      </c>
      <c r="G68" s="5">
        <v>1</v>
      </c>
      <c r="H68" s="4">
        <f t="shared" si="2"/>
        <v>746.46</v>
      </c>
    </row>
    <row r="69" spans="1:8" ht="24">
      <c r="A69" s="9" t="s">
        <v>351</v>
      </c>
      <c r="B69" s="10" t="s">
        <v>34</v>
      </c>
      <c r="C69" s="9" t="s">
        <v>289</v>
      </c>
      <c r="D69" s="8" t="s">
        <v>3</v>
      </c>
      <c r="E69" s="7" t="s">
        <v>288</v>
      </c>
      <c r="F69" s="6">
        <v>57.32</v>
      </c>
      <c r="G69" s="5">
        <v>8</v>
      </c>
      <c r="H69" s="4">
        <f t="shared" si="2"/>
        <v>458.56</v>
      </c>
    </row>
    <row r="70" spans="1:8">
      <c r="A70" s="9" t="s">
        <v>351</v>
      </c>
      <c r="B70" s="10" t="s">
        <v>83</v>
      </c>
      <c r="C70" s="9" t="s">
        <v>378</v>
      </c>
      <c r="D70" s="8" t="s">
        <v>3</v>
      </c>
      <c r="E70" s="7" t="s">
        <v>377</v>
      </c>
      <c r="F70" s="6">
        <v>58.38</v>
      </c>
      <c r="G70" s="5">
        <v>4</v>
      </c>
      <c r="H70" s="4">
        <f t="shared" si="2"/>
        <v>233.52</v>
      </c>
    </row>
    <row r="71" spans="1:8" ht="24">
      <c r="A71" s="9" t="s">
        <v>351</v>
      </c>
      <c r="B71" s="10" t="s">
        <v>80</v>
      </c>
      <c r="C71" s="9" t="s">
        <v>202</v>
      </c>
      <c r="D71" s="8" t="s">
        <v>3</v>
      </c>
      <c r="E71" s="7" t="s">
        <v>201</v>
      </c>
      <c r="F71" s="6">
        <v>1434.9</v>
      </c>
      <c r="G71" s="5">
        <v>1</v>
      </c>
      <c r="H71" s="4">
        <f t="shared" si="2"/>
        <v>1434.9</v>
      </c>
    </row>
    <row r="72" spans="1:8" ht="24">
      <c r="A72" s="9" t="s">
        <v>351</v>
      </c>
      <c r="B72" s="10" t="s">
        <v>77</v>
      </c>
      <c r="C72" s="9" t="s">
        <v>208</v>
      </c>
      <c r="D72" s="8" t="s">
        <v>3</v>
      </c>
      <c r="E72" s="7" t="s">
        <v>207</v>
      </c>
      <c r="F72" s="6">
        <v>812.95</v>
      </c>
      <c r="G72" s="5">
        <v>1</v>
      </c>
      <c r="H72" s="4">
        <f t="shared" si="2"/>
        <v>812.95</v>
      </c>
    </row>
    <row r="73" spans="1:8">
      <c r="A73" s="9" t="s">
        <v>351</v>
      </c>
      <c r="B73" s="10" t="s">
        <v>73</v>
      </c>
      <c r="C73" s="9" t="s">
        <v>376</v>
      </c>
      <c r="D73" s="8" t="s">
        <v>3</v>
      </c>
      <c r="E73" s="7" t="s">
        <v>375</v>
      </c>
      <c r="F73" s="6">
        <v>1268.18</v>
      </c>
      <c r="G73" s="5">
        <v>1</v>
      </c>
      <c r="H73" s="4">
        <f t="shared" si="2"/>
        <v>1268.18</v>
      </c>
    </row>
    <row r="74" spans="1:8" ht="24">
      <c r="A74" s="9" t="s">
        <v>351</v>
      </c>
      <c r="B74" s="10" t="s">
        <v>198</v>
      </c>
      <c r="C74" s="9" t="s">
        <v>191</v>
      </c>
      <c r="D74" s="8" t="s">
        <v>56</v>
      </c>
      <c r="E74" s="7" t="s">
        <v>190</v>
      </c>
      <c r="F74" s="6">
        <v>9.57</v>
      </c>
      <c r="G74" s="5">
        <v>40</v>
      </c>
      <c r="H74" s="4">
        <f t="shared" si="2"/>
        <v>382.8</v>
      </c>
    </row>
    <row r="75" spans="1:8" ht="24">
      <c r="A75" s="9" t="s">
        <v>351</v>
      </c>
      <c r="B75" s="10" t="s">
        <v>195</v>
      </c>
      <c r="C75" s="9" t="s">
        <v>188</v>
      </c>
      <c r="D75" s="8" t="s">
        <v>56</v>
      </c>
      <c r="E75" s="7" t="s">
        <v>187</v>
      </c>
      <c r="F75" s="6">
        <v>10.89</v>
      </c>
      <c r="G75" s="5">
        <v>50</v>
      </c>
      <c r="H75" s="4">
        <f t="shared" si="2"/>
        <v>544.5</v>
      </c>
    </row>
    <row r="76" spans="1:8" ht="24">
      <c r="A76" s="9" t="s">
        <v>351</v>
      </c>
      <c r="B76" s="10" t="s">
        <v>192</v>
      </c>
      <c r="C76" s="9" t="s">
        <v>281</v>
      </c>
      <c r="D76" s="8" t="s">
        <v>56</v>
      </c>
      <c r="E76" s="7" t="s">
        <v>280</v>
      </c>
      <c r="F76" s="6">
        <v>35.39</v>
      </c>
      <c r="G76" s="5">
        <v>44</v>
      </c>
      <c r="H76" s="4">
        <f t="shared" si="2"/>
        <v>1557.16</v>
      </c>
    </row>
    <row r="77" spans="1:8" ht="24">
      <c r="A77" s="9" t="s">
        <v>351</v>
      </c>
      <c r="B77" s="10" t="s">
        <v>189</v>
      </c>
      <c r="C77" s="9" t="s">
        <v>374</v>
      </c>
      <c r="D77" s="8" t="s">
        <v>56</v>
      </c>
      <c r="E77" s="7" t="s">
        <v>373</v>
      </c>
      <c r="F77" s="6">
        <v>10.59</v>
      </c>
      <c r="G77" s="5">
        <v>40</v>
      </c>
      <c r="H77" s="4">
        <f t="shared" si="2"/>
        <v>423.6</v>
      </c>
    </row>
    <row r="78" spans="1:8">
      <c r="A78" s="9" t="s">
        <v>351</v>
      </c>
      <c r="B78" s="10" t="s">
        <v>185</v>
      </c>
      <c r="C78" s="9" t="s">
        <v>372</v>
      </c>
      <c r="D78" s="8" t="s">
        <v>3</v>
      </c>
      <c r="E78" s="7" t="s">
        <v>371</v>
      </c>
      <c r="F78" s="6">
        <v>47.29</v>
      </c>
      <c r="G78" s="5">
        <v>6</v>
      </c>
      <c r="H78" s="4">
        <f t="shared" si="2"/>
        <v>283.74</v>
      </c>
    </row>
    <row r="79" spans="1:8">
      <c r="A79" s="9" t="s">
        <v>351</v>
      </c>
      <c r="B79" s="10" t="s">
        <v>246</v>
      </c>
      <c r="C79" s="9" t="s">
        <v>370</v>
      </c>
      <c r="D79" s="8" t="s">
        <v>3</v>
      </c>
      <c r="E79" s="7" t="s">
        <v>369</v>
      </c>
      <c r="F79" s="6">
        <v>33.299999999999997</v>
      </c>
      <c r="G79" s="5">
        <v>2</v>
      </c>
      <c r="H79" s="4">
        <f t="shared" si="2"/>
        <v>66.599999999999994</v>
      </c>
    </row>
    <row r="80" spans="1:8">
      <c r="A80" s="9" t="s">
        <v>351</v>
      </c>
      <c r="B80" s="10" t="s">
        <v>244</v>
      </c>
      <c r="C80" s="9" t="s">
        <v>368</v>
      </c>
      <c r="D80" s="8" t="s">
        <v>3</v>
      </c>
      <c r="E80" s="7" t="s">
        <v>367</v>
      </c>
      <c r="F80" s="6">
        <v>28.1</v>
      </c>
      <c r="G80" s="5">
        <v>1</v>
      </c>
      <c r="H80" s="4">
        <f t="shared" si="2"/>
        <v>28.1</v>
      </c>
    </row>
    <row r="81" spans="1:8">
      <c r="A81" s="9" t="s">
        <v>351</v>
      </c>
      <c r="B81" s="10" t="s">
        <v>241</v>
      </c>
      <c r="C81" s="9" t="s">
        <v>287</v>
      </c>
      <c r="D81" s="8" t="s">
        <v>3</v>
      </c>
      <c r="E81" s="7" t="s">
        <v>286</v>
      </c>
      <c r="F81" s="6">
        <v>31.9</v>
      </c>
      <c r="G81" s="5">
        <v>1</v>
      </c>
      <c r="H81" s="4">
        <f t="shared" si="2"/>
        <v>31.9</v>
      </c>
    </row>
    <row r="82" spans="1:8">
      <c r="A82" s="9" t="s">
        <v>351</v>
      </c>
      <c r="B82" s="10" t="s">
        <v>237</v>
      </c>
      <c r="C82" s="9" t="s">
        <v>366</v>
      </c>
      <c r="D82" s="8" t="s">
        <v>3</v>
      </c>
      <c r="E82" s="7" t="s">
        <v>365</v>
      </c>
      <c r="F82" s="6">
        <v>37.58</v>
      </c>
      <c r="G82" s="5">
        <v>2</v>
      </c>
      <c r="H82" s="4">
        <f t="shared" si="2"/>
        <v>75.16</v>
      </c>
    </row>
    <row r="83" spans="1:8">
      <c r="A83" s="9" t="s">
        <v>351</v>
      </c>
      <c r="B83" s="10" t="s">
        <v>364</v>
      </c>
      <c r="C83" s="9" t="s">
        <v>228</v>
      </c>
      <c r="D83" s="8" t="s">
        <v>3</v>
      </c>
      <c r="E83" s="7" t="s">
        <v>227</v>
      </c>
      <c r="F83" s="6">
        <v>21</v>
      </c>
      <c r="G83" s="5">
        <v>4</v>
      </c>
      <c r="H83" s="4">
        <f t="shared" si="2"/>
        <v>84</v>
      </c>
    </row>
    <row r="84" spans="1:8">
      <c r="A84" s="9" t="s">
        <v>351</v>
      </c>
      <c r="B84" s="10" t="s">
        <v>363</v>
      </c>
      <c r="C84" s="9" t="s">
        <v>225</v>
      </c>
      <c r="D84" s="8" t="s">
        <v>3</v>
      </c>
      <c r="E84" s="7" t="s">
        <v>224</v>
      </c>
      <c r="F84" s="6">
        <v>19.149999999999999</v>
      </c>
      <c r="G84" s="5">
        <v>6</v>
      </c>
      <c r="H84" s="4">
        <f t="shared" si="2"/>
        <v>114.89999999999999</v>
      </c>
    </row>
    <row r="85" spans="1:8">
      <c r="A85" s="9" t="s">
        <v>351</v>
      </c>
      <c r="B85" s="10" t="s">
        <v>362</v>
      </c>
      <c r="C85" s="9" t="s">
        <v>250</v>
      </c>
      <c r="D85" s="8" t="s">
        <v>3</v>
      </c>
      <c r="E85" s="7" t="s">
        <v>249</v>
      </c>
      <c r="F85" s="6">
        <v>506.19</v>
      </c>
      <c r="G85" s="5">
        <v>1</v>
      </c>
      <c r="H85" s="4">
        <f t="shared" si="2"/>
        <v>506.19</v>
      </c>
    </row>
    <row r="86" spans="1:8">
      <c r="A86" s="9" t="s">
        <v>351</v>
      </c>
      <c r="B86" s="10" t="s">
        <v>361</v>
      </c>
      <c r="C86" s="9" t="s">
        <v>360</v>
      </c>
      <c r="D86" s="8" t="s">
        <v>3</v>
      </c>
      <c r="E86" s="7" t="s">
        <v>359</v>
      </c>
      <c r="F86" s="6">
        <v>355.14</v>
      </c>
      <c r="G86" s="5">
        <v>1</v>
      </c>
      <c r="H86" s="4">
        <f t="shared" si="2"/>
        <v>355.14</v>
      </c>
    </row>
    <row r="87" spans="1:8">
      <c r="A87" s="9" t="s">
        <v>351</v>
      </c>
      <c r="B87" s="10" t="s">
        <v>358</v>
      </c>
      <c r="C87" s="9" t="s">
        <v>357</v>
      </c>
      <c r="D87" s="8" t="s">
        <v>3</v>
      </c>
      <c r="E87" s="7" t="s">
        <v>356</v>
      </c>
      <c r="F87" s="6">
        <v>13941.83</v>
      </c>
      <c r="G87" s="5">
        <v>1</v>
      </c>
      <c r="H87" s="4">
        <f t="shared" si="2"/>
        <v>13941.83</v>
      </c>
    </row>
    <row r="88" spans="1:8">
      <c r="A88" s="9" t="s">
        <v>351</v>
      </c>
      <c r="B88" s="10" t="s">
        <v>355</v>
      </c>
      <c r="C88" s="9" t="s">
        <v>197</v>
      </c>
      <c r="D88" s="8" t="s">
        <v>3</v>
      </c>
      <c r="E88" s="7" t="s">
        <v>196</v>
      </c>
      <c r="F88" s="6">
        <v>18.46</v>
      </c>
      <c r="G88" s="5">
        <v>2</v>
      </c>
      <c r="H88" s="4">
        <f t="shared" si="2"/>
        <v>36.92</v>
      </c>
    </row>
    <row r="89" spans="1:8" ht="24">
      <c r="A89" s="9" t="s">
        <v>351</v>
      </c>
      <c r="B89" s="10" t="s">
        <v>354</v>
      </c>
      <c r="C89" s="9" t="s">
        <v>353</v>
      </c>
      <c r="D89" s="8" t="s">
        <v>56</v>
      </c>
      <c r="E89" s="7" t="s">
        <v>352</v>
      </c>
      <c r="F89" s="6">
        <v>11.72</v>
      </c>
      <c r="G89" s="5">
        <v>50</v>
      </c>
      <c r="H89" s="4">
        <f t="shared" si="2"/>
        <v>586</v>
      </c>
    </row>
    <row r="90" spans="1:8" ht="24">
      <c r="A90" s="9" t="s">
        <v>351</v>
      </c>
      <c r="B90" s="10" t="s">
        <v>350</v>
      </c>
      <c r="C90" s="9" t="s">
        <v>240</v>
      </c>
      <c r="D90" s="8" t="s">
        <v>56</v>
      </c>
      <c r="E90" s="7" t="s">
        <v>239</v>
      </c>
      <c r="F90" s="6">
        <v>21.36</v>
      </c>
      <c r="G90" s="5">
        <v>44</v>
      </c>
      <c r="H90" s="4">
        <f t="shared" si="2"/>
        <v>939.83999999999992</v>
      </c>
    </row>
    <row r="91" spans="1:8">
      <c r="E91" s="3" t="s">
        <v>349</v>
      </c>
      <c r="H91" s="2">
        <f>SUM(H63:H90)</f>
        <v>38932.969999999994</v>
      </c>
    </row>
    <row r="93" spans="1:8">
      <c r="C93" s="11" t="s">
        <v>15</v>
      </c>
      <c r="D93" s="11" t="s">
        <v>14</v>
      </c>
      <c r="E93" s="11" t="s">
        <v>13</v>
      </c>
    </row>
    <row r="94" spans="1:8">
      <c r="C94" s="11" t="s">
        <v>12</v>
      </c>
      <c r="D94" s="11" t="s">
        <v>316</v>
      </c>
      <c r="E94" s="11" t="s">
        <v>315</v>
      </c>
    </row>
    <row r="95" spans="1:8">
      <c r="C95" s="11" t="s">
        <v>9</v>
      </c>
      <c r="D95" s="11" t="s">
        <v>71</v>
      </c>
      <c r="E95" s="11" t="s">
        <v>343</v>
      </c>
    </row>
    <row r="96" spans="1:8">
      <c r="C96" s="11" t="s">
        <v>69</v>
      </c>
      <c r="D96" s="11" t="s">
        <v>14</v>
      </c>
      <c r="E96" s="11" t="s">
        <v>348</v>
      </c>
    </row>
    <row r="97" spans="1:8">
      <c r="A97" s="9" t="s">
        <v>347</v>
      </c>
      <c r="B97" s="10" t="s">
        <v>5</v>
      </c>
      <c r="C97" s="9" t="s">
        <v>180</v>
      </c>
      <c r="D97" s="8" t="s">
        <v>3</v>
      </c>
      <c r="E97" s="7" t="s">
        <v>179</v>
      </c>
      <c r="F97" s="6">
        <v>123.55</v>
      </c>
      <c r="G97" s="5">
        <v>3</v>
      </c>
      <c r="H97" s="4">
        <f>F97*G97</f>
        <v>370.65</v>
      </c>
    </row>
    <row r="98" spans="1:8">
      <c r="A98" s="9" t="s">
        <v>347</v>
      </c>
      <c r="B98" s="10" t="s">
        <v>25</v>
      </c>
      <c r="C98" s="9" t="s">
        <v>167</v>
      </c>
      <c r="D98" s="8" t="s">
        <v>3</v>
      </c>
      <c r="E98" s="7" t="s">
        <v>166</v>
      </c>
      <c r="F98" s="6">
        <v>94.79</v>
      </c>
      <c r="G98" s="5">
        <v>8</v>
      </c>
      <c r="H98" s="4">
        <f>F98*G98</f>
        <v>758.32</v>
      </c>
    </row>
    <row r="99" spans="1:8">
      <c r="A99" s="9" t="s">
        <v>347</v>
      </c>
      <c r="B99" s="10" t="s">
        <v>47</v>
      </c>
      <c r="C99" s="9" t="s">
        <v>178</v>
      </c>
      <c r="D99" s="8" t="s">
        <v>3</v>
      </c>
      <c r="E99" s="7" t="s">
        <v>177</v>
      </c>
      <c r="F99" s="6">
        <v>274.75</v>
      </c>
      <c r="G99" s="5">
        <v>2</v>
      </c>
      <c r="H99" s="4">
        <f>F99*G99</f>
        <v>549.5</v>
      </c>
    </row>
    <row r="100" spans="1:8">
      <c r="E100" s="3" t="s">
        <v>346</v>
      </c>
      <c r="H100" s="2">
        <f>SUM(H97:H99)</f>
        <v>1678.47</v>
      </c>
    </row>
    <row r="102" spans="1:8">
      <c r="C102" s="11" t="s">
        <v>15</v>
      </c>
      <c r="D102" s="11" t="s">
        <v>14</v>
      </c>
      <c r="E102" s="11" t="s">
        <v>13</v>
      </c>
    </row>
    <row r="103" spans="1:8">
      <c r="C103" s="11" t="s">
        <v>12</v>
      </c>
      <c r="D103" s="11" t="s">
        <v>316</v>
      </c>
      <c r="E103" s="11" t="s">
        <v>315</v>
      </c>
    </row>
    <row r="104" spans="1:8">
      <c r="C104" s="11" t="s">
        <v>9</v>
      </c>
      <c r="D104" s="11" t="s">
        <v>71</v>
      </c>
      <c r="E104" s="11" t="s">
        <v>343</v>
      </c>
    </row>
    <row r="105" spans="1:8">
      <c r="C105" s="11" t="s">
        <v>69</v>
      </c>
      <c r="D105" s="11" t="s">
        <v>99</v>
      </c>
      <c r="E105" s="11" t="s">
        <v>145</v>
      </c>
    </row>
    <row r="106" spans="1:8">
      <c r="A106" s="9" t="s">
        <v>345</v>
      </c>
      <c r="B106" s="10" t="s">
        <v>5</v>
      </c>
      <c r="C106" s="9" t="s">
        <v>158</v>
      </c>
      <c r="D106" s="8" t="s">
        <v>3</v>
      </c>
      <c r="E106" s="7" t="s">
        <v>157</v>
      </c>
      <c r="F106" s="6">
        <v>1050.2</v>
      </c>
      <c r="G106" s="5">
        <v>3</v>
      </c>
      <c r="H106" s="4">
        <f>F106*G106</f>
        <v>3150.6000000000004</v>
      </c>
    </row>
    <row r="107" spans="1:8">
      <c r="A107" s="9" t="s">
        <v>345</v>
      </c>
      <c r="B107" s="10" t="s">
        <v>25</v>
      </c>
      <c r="C107" s="9" t="s">
        <v>156</v>
      </c>
      <c r="D107" s="8" t="s">
        <v>3</v>
      </c>
      <c r="E107" s="7" t="s">
        <v>155</v>
      </c>
      <c r="F107" s="6">
        <v>299.14999999999998</v>
      </c>
      <c r="G107" s="5">
        <v>3</v>
      </c>
      <c r="H107" s="4">
        <f>F107*G107</f>
        <v>897.44999999999993</v>
      </c>
    </row>
    <row r="108" spans="1:8">
      <c r="A108" s="9" t="s">
        <v>345</v>
      </c>
      <c r="B108" s="10" t="s">
        <v>47</v>
      </c>
      <c r="C108" s="9" t="s">
        <v>154</v>
      </c>
      <c r="D108" s="8" t="s">
        <v>3</v>
      </c>
      <c r="E108" s="7" t="s">
        <v>153</v>
      </c>
      <c r="F108" s="6">
        <v>87.02</v>
      </c>
      <c r="G108" s="5">
        <v>1</v>
      </c>
      <c r="H108" s="4">
        <f>F108*G108</f>
        <v>87.02</v>
      </c>
    </row>
    <row r="109" spans="1:8">
      <c r="A109" s="9" t="s">
        <v>345</v>
      </c>
      <c r="B109" s="10" t="s">
        <v>44</v>
      </c>
      <c r="C109" s="9" t="s">
        <v>152</v>
      </c>
      <c r="D109" s="8" t="s">
        <v>3</v>
      </c>
      <c r="E109" s="7" t="s">
        <v>151</v>
      </c>
      <c r="F109" s="6">
        <v>49.42</v>
      </c>
      <c r="G109" s="5">
        <v>1</v>
      </c>
      <c r="H109" s="4">
        <f>F109*G109</f>
        <v>49.42</v>
      </c>
    </row>
    <row r="110" spans="1:8">
      <c r="A110" s="9" t="s">
        <v>345</v>
      </c>
      <c r="B110" s="10" t="s">
        <v>41</v>
      </c>
      <c r="C110" s="9" t="s">
        <v>150</v>
      </c>
      <c r="D110" s="8" t="s">
        <v>3</v>
      </c>
      <c r="E110" s="7" t="s">
        <v>120</v>
      </c>
      <c r="F110" s="6">
        <v>761.42</v>
      </c>
      <c r="G110" s="5">
        <v>1</v>
      </c>
      <c r="H110" s="4">
        <f>F110*G110</f>
        <v>761.42</v>
      </c>
    </row>
    <row r="111" spans="1:8">
      <c r="E111" s="3" t="s">
        <v>344</v>
      </c>
      <c r="H111" s="2">
        <f>SUM(H106:H110)</f>
        <v>4945.9100000000008</v>
      </c>
    </row>
    <row r="113" spans="1:8">
      <c r="C113" s="11" t="s">
        <v>15</v>
      </c>
      <c r="D113" s="11" t="s">
        <v>14</v>
      </c>
      <c r="E113" s="11" t="s">
        <v>13</v>
      </c>
    </row>
    <row r="114" spans="1:8">
      <c r="C114" s="11" t="s">
        <v>12</v>
      </c>
      <c r="D114" s="11" t="s">
        <v>316</v>
      </c>
      <c r="E114" s="11" t="s">
        <v>315</v>
      </c>
    </row>
    <row r="115" spans="1:8">
      <c r="C115" s="11" t="s">
        <v>9</v>
      </c>
      <c r="D115" s="11" t="s">
        <v>71</v>
      </c>
      <c r="E115" s="11" t="s">
        <v>343</v>
      </c>
    </row>
    <row r="116" spans="1:8">
      <c r="C116" s="11" t="s">
        <v>69</v>
      </c>
      <c r="D116" s="11" t="s">
        <v>68</v>
      </c>
      <c r="E116" s="11" t="s">
        <v>342</v>
      </c>
    </row>
    <row r="117" spans="1:8">
      <c r="A117" s="9" t="s">
        <v>341</v>
      </c>
      <c r="B117" s="10" t="s">
        <v>5</v>
      </c>
      <c r="C117" s="9" t="s">
        <v>116</v>
      </c>
      <c r="D117" s="8" t="s">
        <v>56</v>
      </c>
      <c r="E117" s="7" t="s">
        <v>115</v>
      </c>
      <c r="F117" s="6">
        <v>5.67</v>
      </c>
      <c r="G117" s="5">
        <v>80</v>
      </c>
      <c r="H117" s="4">
        <f t="shared" ref="H117:H124" si="3">F117*G117</f>
        <v>453.6</v>
      </c>
    </row>
    <row r="118" spans="1:8">
      <c r="A118" s="9" t="s">
        <v>341</v>
      </c>
      <c r="B118" s="10" t="s">
        <v>25</v>
      </c>
      <c r="C118" s="9" t="s">
        <v>114</v>
      </c>
      <c r="D118" s="8" t="s">
        <v>56</v>
      </c>
      <c r="E118" s="7" t="s">
        <v>113</v>
      </c>
      <c r="F118" s="6">
        <v>6.62</v>
      </c>
      <c r="G118" s="5">
        <v>400</v>
      </c>
      <c r="H118" s="4">
        <f t="shared" si="3"/>
        <v>2648</v>
      </c>
    </row>
    <row r="119" spans="1:8">
      <c r="A119" s="9" t="s">
        <v>341</v>
      </c>
      <c r="B119" s="10" t="s">
        <v>47</v>
      </c>
      <c r="C119" s="9" t="s">
        <v>112</v>
      </c>
      <c r="D119" s="8" t="s">
        <v>56</v>
      </c>
      <c r="E119" s="7" t="s">
        <v>111</v>
      </c>
      <c r="F119" s="6">
        <v>6.62</v>
      </c>
      <c r="G119" s="5">
        <v>240</v>
      </c>
      <c r="H119" s="4">
        <f t="shared" si="3"/>
        <v>1588.8</v>
      </c>
    </row>
    <row r="120" spans="1:8">
      <c r="A120" s="9" t="s">
        <v>341</v>
      </c>
      <c r="B120" s="10" t="s">
        <v>44</v>
      </c>
      <c r="C120" s="9" t="s">
        <v>110</v>
      </c>
      <c r="D120" s="8" t="s">
        <v>3</v>
      </c>
      <c r="E120" s="7" t="s">
        <v>109</v>
      </c>
      <c r="F120" s="6">
        <v>60.34</v>
      </c>
      <c r="G120" s="5">
        <v>180</v>
      </c>
      <c r="H120" s="4">
        <f t="shared" si="3"/>
        <v>10861.2</v>
      </c>
    </row>
    <row r="121" spans="1:8" ht="24">
      <c r="A121" s="9" t="s">
        <v>341</v>
      </c>
      <c r="B121" s="10" t="s">
        <v>41</v>
      </c>
      <c r="C121" s="9" t="s">
        <v>79</v>
      </c>
      <c r="D121" s="8" t="s">
        <v>56</v>
      </c>
      <c r="E121" s="7" t="s">
        <v>78</v>
      </c>
      <c r="F121" s="6">
        <v>8.93</v>
      </c>
      <c r="G121" s="5">
        <v>150</v>
      </c>
      <c r="H121" s="4">
        <f t="shared" si="3"/>
        <v>1339.5</v>
      </c>
    </row>
    <row r="122" spans="1:8">
      <c r="A122" s="9" t="s">
        <v>341</v>
      </c>
      <c r="B122" s="10" t="s">
        <v>38</v>
      </c>
      <c r="C122" s="9" t="s">
        <v>85</v>
      </c>
      <c r="D122" s="8" t="s">
        <v>3</v>
      </c>
      <c r="E122" s="7" t="s">
        <v>84</v>
      </c>
      <c r="F122" s="6">
        <v>22.39</v>
      </c>
      <c r="G122" s="5">
        <v>15</v>
      </c>
      <c r="H122" s="4">
        <f t="shared" si="3"/>
        <v>335.85</v>
      </c>
    </row>
    <row r="123" spans="1:8" ht="24">
      <c r="A123" s="9" t="s">
        <v>341</v>
      </c>
      <c r="B123" s="10" t="s">
        <v>34</v>
      </c>
      <c r="C123" s="9" t="s">
        <v>82</v>
      </c>
      <c r="D123" s="8" t="s">
        <v>56</v>
      </c>
      <c r="E123" s="7" t="s">
        <v>81</v>
      </c>
      <c r="F123" s="6">
        <v>2.56</v>
      </c>
      <c r="G123" s="5">
        <v>280</v>
      </c>
      <c r="H123" s="4">
        <f t="shared" si="3"/>
        <v>716.80000000000007</v>
      </c>
    </row>
    <row r="124" spans="1:8">
      <c r="A124" s="9" t="s">
        <v>341</v>
      </c>
      <c r="B124" s="10" t="s">
        <v>83</v>
      </c>
      <c r="C124" s="9" t="s">
        <v>107</v>
      </c>
      <c r="D124" s="8" t="s">
        <v>3</v>
      </c>
      <c r="E124" s="7" t="s">
        <v>106</v>
      </c>
      <c r="F124" s="6">
        <v>19775.57</v>
      </c>
      <c r="G124" s="5">
        <v>0.15</v>
      </c>
      <c r="H124" s="4">
        <f t="shared" si="3"/>
        <v>2966.3354999999997</v>
      </c>
    </row>
    <row r="125" spans="1:8">
      <c r="E125" s="3" t="s">
        <v>340</v>
      </c>
      <c r="H125" s="2">
        <f>SUM(H117:H124)</f>
        <v>20910.085499999997</v>
      </c>
    </row>
    <row r="127" spans="1:8">
      <c r="C127" s="11" t="s">
        <v>15</v>
      </c>
      <c r="D127" s="11" t="s">
        <v>14</v>
      </c>
      <c r="E127" s="11" t="s">
        <v>13</v>
      </c>
    </row>
    <row r="128" spans="1:8">
      <c r="C128" s="11" t="s">
        <v>12</v>
      </c>
      <c r="D128" s="11" t="s">
        <v>316</v>
      </c>
      <c r="E128" s="11" t="s">
        <v>315</v>
      </c>
    </row>
    <row r="129" spans="1:8">
      <c r="C129" s="11" t="s">
        <v>9</v>
      </c>
      <c r="D129" s="11" t="s">
        <v>53</v>
      </c>
      <c r="E129" s="11" t="s">
        <v>70</v>
      </c>
    </row>
    <row r="130" spans="1:8">
      <c r="C130" s="11" t="s">
        <v>69</v>
      </c>
      <c r="D130" s="11" t="s">
        <v>14</v>
      </c>
      <c r="E130" s="11" t="s">
        <v>339</v>
      </c>
    </row>
    <row r="131" spans="1:8">
      <c r="A131" s="9" t="s">
        <v>338</v>
      </c>
      <c r="B131" s="10" t="s">
        <v>5</v>
      </c>
      <c r="C131" s="9" t="s">
        <v>335</v>
      </c>
      <c r="D131" s="8" t="s">
        <v>3</v>
      </c>
      <c r="E131" s="7" t="s">
        <v>334</v>
      </c>
      <c r="F131" s="6">
        <v>2253.34</v>
      </c>
      <c r="G131" s="5">
        <v>1</v>
      </c>
      <c r="H131" s="4">
        <f t="shared" ref="H131:H136" si="4">F131*G131</f>
        <v>2253.34</v>
      </c>
    </row>
    <row r="132" spans="1:8">
      <c r="A132" s="9" t="s">
        <v>338</v>
      </c>
      <c r="B132" s="10" t="s">
        <v>25</v>
      </c>
      <c r="C132" s="9" t="s">
        <v>93</v>
      </c>
      <c r="D132" s="8" t="s">
        <v>56</v>
      </c>
      <c r="E132" s="7" t="s">
        <v>92</v>
      </c>
      <c r="F132" s="6">
        <v>6.07</v>
      </c>
      <c r="G132" s="5">
        <v>90</v>
      </c>
      <c r="H132" s="4">
        <f t="shared" si="4"/>
        <v>546.30000000000007</v>
      </c>
    </row>
    <row r="133" spans="1:8">
      <c r="A133" s="9" t="s">
        <v>338</v>
      </c>
      <c r="B133" s="10" t="s">
        <v>47</v>
      </c>
      <c r="C133" s="9" t="s">
        <v>95</v>
      </c>
      <c r="D133" s="8" t="s">
        <v>56</v>
      </c>
      <c r="E133" s="7" t="s">
        <v>94</v>
      </c>
      <c r="F133" s="6">
        <v>2.78</v>
      </c>
      <c r="G133" s="5">
        <v>90</v>
      </c>
      <c r="H133" s="4">
        <f t="shared" si="4"/>
        <v>250.2</v>
      </c>
    </row>
    <row r="134" spans="1:8">
      <c r="A134" s="9" t="s">
        <v>338</v>
      </c>
      <c r="B134" s="10" t="s">
        <v>44</v>
      </c>
      <c r="C134" s="9" t="s">
        <v>85</v>
      </c>
      <c r="D134" s="8" t="s">
        <v>3</v>
      </c>
      <c r="E134" s="7" t="s">
        <v>84</v>
      </c>
      <c r="F134" s="6">
        <v>22.39</v>
      </c>
      <c r="G134" s="5">
        <v>3</v>
      </c>
      <c r="H134" s="4">
        <f t="shared" si="4"/>
        <v>67.17</v>
      </c>
    </row>
    <row r="135" spans="1:8" ht="24">
      <c r="A135" s="9" t="s">
        <v>338</v>
      </c>
      <c r="B135" s="10" t="s">
        <v>41</v>
      </c>
      <c r="C135" s="9" t="s">
        <v>79</v>
      </c>
      <c r="D135" s="8" t="s">
        <v>56</v>
      </c>
      <c r="E135" s="7" t="s">
        <v>78</v>
      </c>
      <c r="F135" s="6">
        <v>8.93</v>
      </c>
      <c r="G135" s="5">
        <v>20</v>
      </c>
      <c r="H135" s="4">
        <f t="shared" si="4"/>
        <v>178.6</v>
      </c>
    </row>
    <row r="136" spans="1:8" ht="24">
      <c r="A136" s="9" t="s">
        <v>338</v>
      </c>
      <c r="B136" s="10" t="s">
        <v>38</v>
      </c>
      <c r="C136" s="9" t="s">
        <v>82</v>
      </c>
      <c r="D136" s="8" t="s">
        <v>56</v>
      </c>
      <c r="E136" s="7" t="s">
        <v>81</v>
      </c>
      <c r="F136" s="6">
        <v>2.56</v>
      </c>
      <c r="G136" s="5">
        <v>20</v>
      </c>
      <c r="H136" s="4">
        <f t="shared" si="4"/>
        <v>51.2</v>
      </c>
    </row>
    <row r="137" spans="1:8">
      <c r="E137" s="3" t="s">
        <v>337</v>
      </c>
      <c r="H137" s="2">
        <f>SUM(H131:H136)</f>
        <v>3346.81</v>
      </c>
    </row>
    <row r="139" spans="1:8">
      <c r="C139" s="11" t="s">
        <v>15</v>
      </c>
      <c r="D139" s="11" t="s">
        <v>14</v>
      </c>
      <c r="E139" s="11" t="s">
        <v>13</v>
      </c>
    </row>
    <row r="140" spans="1:8">
      <c r="C140" s="11" t="s">
        <v>12</v>
      </c>
      <c r="D140" s="11" t="s">
        <v>316</v>
      </c>
      <c r="E140" s="11" t="s">
        <v>315</v>
      </c>
    </row>
    <row r="141" spans="1:8">
      <c r="C141" s="11" t="s">
        <v>9</v>
      </c>
      <c r="D141" s="11" t="s">
        <v>53</v>
      </c>
      <c r="E141" s="11" t="s">
        <v>70</v>
      </c>
    </row>
    <row r="142" spans="1:8">
      <c r="C142" s="11" t="s">
        <v>69</v>
      </c>
      <c r="D142" s="11" t="s">
        <v>99</v>
      </c>
      <c r="E142" s="11" t="s">
        <v>336</v>
      </c>
    </row>
    <row r="143" spans="1:8">
      <c r="A143" s="9" t="s">
        <v>325</v>
      </c>
      <c r="B143" s="10" t="s">
        <v>5</v>
      </c>
      <c r="C143" s="9" t="s">
        <v>335</v>
      </c>
      <c r="D143" s="8" t="s">
        <v>3</v>
      </c>
      <c r="E143" s="7" t="s">
        <v>334</v>
      </c>
      <c r="F143" s="6">
        <v>2253.34</v>
      </c>
      <c r="G143" s="5">
        <v>1</v>
      </c>
      <c r="H143" s="4">
        <f t="shared" ref="H143:H153" si="5">F143*G143</f>
        <v>2253.34</v>
      </c>
    </row>
    <row r="144" spans="1:8">
      <c r="A144" s="9" t="s">
        <v>325</v>
      </c>
      <c r="B144" s="10" t="s">
        <v>25</v>
      </c>
      <c r="C144" s="9" t="s">
        <v>89</v>
      </c>
      <c r="D144" s="8" t="s">
        <v>56</v>
      </c>
      <c r="E144" s="7" t="s">
        <v>88</v>
      </c>
      <c r="F144" s="6">
        <v>8.2200000000000006</v>
      </c>
      <c r="G144" s="5">
        <v>60</v>
      </c>
      <c r="H144" s="4">
        <f t="shared" si="5"/>
        <v>493.20000000000005</v>
      </c>
    </row>
    <row r="145" spans="1:8">
      <c r="A145" s="9" t="s">
        <v>325</v>
      </c>
      <c r="B145" s="10" t="s">
        <v>47</v>
      </c>
      <c r="C145" s="9" t="s">
        <v>333</v>
      </c>
      <c r="D145" s="8" t="s">
        <v>3</v>
      </c>
      <c r="E145" s="7" t="s">
        <v>332</v>
      </c>
      <c r="F145" s="6">
        <v>2214.4699999999998</v>
      </c>
      <c r="G145" s="5">
        <v>1</v>
      </c>
      <c r="H145" s="4">
        <f t="shared" si="5"/>
        <v>2214.4699999999998</v>
      </c>
    </row>
    <row r="146" spans="1:8" ht="24">
      <c r="A146" s="9" t="s">
        <v>325</v>
      </c>
      <c r="B146" s="10" t="s">
        <v>44</v>
      </c>
      <c r="C146" s="9" t="s">
        <v>331</v>
      </c>
      <c r="D146" s="8" t="s">
        <v>56</v>
      </c>
      <c r="E146" s="7" t="s">
        <v>330</v>
      </c>
      <c r="F146" s="6">
        <v>6.02</v>
      </c>
      <c r="G146" s="5">
        <v>75</v>
      </c>
      <c r="H146" s="4">
        <f t="shared" si="5"/>
        <v>451.49999999999994</v>
      </c>
    </row>
    <row r="147" spans="1:8">
      <c r="A147" s="9" t="s">
        <v>325</v>
      </c>
      <c r="B147" s="10" t="s">
        <v>41</v>
      </c>
      <c r="C147" s="9" t="s">
        <v>329</v>
      </c>
      <c r="D147" s="8" t="s">
        <v>56</v>
      </c>
      <c r="E147" s="7" t="s">
        <v>328</v>
      </c>
      <c r="F147" s="6">
        <v>2.1800000000000002</v>
      </c>
      <c r="G147" s="5">
        <v>144</v>
      </c>
      <c r="H147" s="4">
        <f t="shared" si="5"/>
        <v>313.92</v>
      </c>
    </row>
    <row r="148" spans="1:8">
      <c r="A148" s="9" t="s">
        <v>325</v>
      </c>
      <c r="B148" s="10" t="s">
        <v>38</v>
      </c>
      <c r="C148" s="9" t="s">
        <v>95</v>
      </c>
      <c r="D148" s="8" t="s">
        <v>56</v>
      </c>
      <c r="E148" s="7" t="s">
        <v>94</v>
      </c>
      <c r="F148" s="6">
        <v>2.78</v>
      </c>
      <c r="G148" s="5">
        <v>30</v>
      </c>
      <c r="H148" s="4">
        <f t="shared" si="5"/>
        <v>83.399999999999991</v>
      </c>
    </row>
    <row r="149" spans="1:8">
      <c r="A149" s="9" t="s">
        <v>325</v>
      </c>
      <c r="B149" s="10" t="s">
        <v>34</v>
      </c>
      <c r="C149" s="9" t="s">
        <v>327</v>
      </c>
      <c r="D149" s="8" t="s">
        <v>3</v>
      </c>
      <c r="E149" s="7" t="s">
        <v>326</v>
      </c>
      <c r="F149" s="6">
        <v>44.13</v>
      </c>
      <c r="G149" s="5">
        <v>32</v>
      </c>
      <c r="H149" s="4">
        <f t="shared" si="5"/>
        <v>1412.16</v>
      </c>
    </row>
    <row r="150" spans="1:8">
      <c r="A150" s="9" t="s">
        <v>325</v>
      </c>
      <c r="B150" s="10" t="s">
        <v>83</v>
      </c>
      <c r="C150" s="9" t="s">
        <v>85</v>
      </c>
      <c r="D150" s="8" t="s">
        <v>3</v>
      </c>
      <c r="E150" s="7" t="s">
        <v>84</v>
      </c>
      <c r="F150" s="6">
        <v>22.39</v>
      </c>
      <c r="G150" s="5">
        <v>15</v>
      </c>
      <c r="H150" s="4">
        <f t="shared" si="5"/>
        <v>335.85</v>
      </c>
    </row>
    <row r="151" spans="1:8" ht="24">
      <c r="A151" s="9" t="s">
        <v>325</v>
      </c>
      <c r="B151" s="10" t="s">
        <v>80</v>
      </c>
      <c r="C151" s="9" t="s">
        <v>79</v>
      </c>
      <c r="D151" s="8" t="s">
        <v>56</v>
      </c>
      <c r="E151" s="7" t="s">
        <v>78</v>
      </c>
      <c r="F151" s="6">
        <v>8.93</v>
      </c>
      <c r="G151" s="5">
        <v>110</v>
      </c>
      <c r="H151" s="4">
        <f t="shared" si="5"/>
        <v>982.3</v>
      </c>
    </row>
    <row r="152" spans="1:8" ht="24">
      <c r="A152" s="9" t="s">
        <v>325</v>
      </c>
      <c r="B152" s="10" t="s">
        <v>77</v>
      </c>
      <c r="C152" s="9" t="s">
        <v>82</v>
      </c>
      <c r="D152" s="8" t="s">
        <v>56</v>
      </c>
      <c r="E152" s="7" t="s">
        <v>81</v>
      </c>
      <c r="F152" s="6">
        <v>2.56</v>
      </c>
      <c r="G152" s="5">
        <v>100</v>
      </c>
      <c r="H152" s="4">
        <f t="shared" si="5"/>
        <v>256</v>
      </c>
    </row>
    <row r="153" spans="1:8">
      <c r="A153" s="9" t="s">
        <v>325</v>
      </c>
      <c r="B153" s="10" t="s">
        <v>73</v>
      </c>
      <c r="C153" s="9" t="s">
        <v>324</v>
      </c>
      <c r="D153" s="8" t="s">
        <v>56</v>
      </c>
      <c r="E153" s="7" t="s">
        <v>323</v>
      </c>
      <c r="F153" s="6">
        <v>39.69</v>
      </c>
      <c r="G153" s="5">
        <v>80</v>
      </c>
      <c r="H153" s="4">
        <f t="shared" si="5"/>
        <v>3175.2</v>
      </c>
    </row>
    <row r="154" spans="1:8">
      <c r="E154" s="3" t="s">
        <v>322</v>
      </c>
      <c r="H154" s="2">
        <f>SUM(H143:H153)</f>
        <v>11971.34</v>
      </c>
    </row>
    <row r="156" spans="1:8">
      <c r="C156" s="11" t="s">
        <v>15</v>
      </c>
      <c r="D156" s="11" t="s">
        <v>14</v>
      </c>
      <c r="E156" s="11" t="s">
        <v>13</v>
      </c>
    </row>
    <row r="157" spans="1:8">
      <c r="C157" s="11" t="s">
        <v>12</v>
      </c>
      <c r="D157" s="11" t="s">
        <v>316</v>
      </c>
      <c r="E157" s="11" t="s">
        <v>315</v>
      </c>
    </row>
    <row r="158" spans="1:8">
      <c r="C158" s="11" t="s">
        <v>9</v>
      </c>
      <c r="D158" s="11" t="s">
        <v>30</v>
      </c>
      <c r="E158" s="11" t="s">
        <v>29</v>
      </c>
    </row>
    <row r="159" spans="1:8">
      <c r="A159" s="9" t="s">
        <v>321</v>
      </c>
      <c r="B159" s="10" t="s">
        <v>5</v>
      </c>
      <c r="C159" s="9" t="s">
        <v>28</v>
      </c>
      <c r="D159" s="8" t="s">
        <v>3</v>
      </c>
      <c r="E159" s="7" t="s">
        <v>27</v>
      </c>
      <c r="F159" s="6">
        <v>2166.8200000000002</v>
      </c>
      <c r="G159" s="5">
        <v>1</v>
      </c>
      <c r="H159" s="4">
        <f>F159*G159</f>
        <v>2166.8200000000002</v>
      </c>
    </row>
    <row r="160" spans="1:8">
      <c r="A160" s="9" t="s">
        <v>321</v>
      </c>
      <c r="B160" s="10" t="s">
        <v>25</v>
      </c>
      <c r="C160" s="9" t="s">
        <v>24</v>
      </c>
      <c r="D160" s="8" t="s">
        <v>3</v>
      </c>
      <c r="E160" s="7" t="s">
        <v>23</v>
      </c>
      <c r="F160" s="6">
        <v>1489.45</v>
      </c>
      <c r="G160" s="5">
        <v>1</v>
      </c>
      <c r="H160" s="4">
        <f>F160*G160</f>
        <v>1489.45</v>
      </c>
    </row>
    <row r="161" spans="1:8">
      <c r="E161" s="3" t="s">
        <v>320</v>
      </c>
      <c r="H161" s="2">
        <f>SUM(H159:H160)</f>
        <v>3656.2700000000004</v>
      </c>
    </row>
    <row r="163" spans="1:8">
      <c r="C163" s="11" t="s">
        <v>15</v>
      </c>
      <c r="D163" s="11" t="s">
        <v>14</v>
      </c>
      <c r="E163" s="11" t="s">
        <v>13</v>
      </c>
    </row>
    <row r="164" spans="1:8">
      <c r="C164" s="11" t="s">
        <v>12</v>
      </c>
      <c r="D164" s="11" t="s">
        <v>316</v>
      </c>
      <c r="E164" s="11" t="s">
        <v>315</v>
      </c>
    </row>
    <row r="165" spans="1:8">
      <c r="C165" s="11" t="s">
        <v>9</v>
      </c>
      <c r="D165" s="11" t="s">
        <v>21</v>
      </c>
      <c r="E165" s="11" t="s">
        <v>20</v>
      </c>
    </row>
    <row r="166" spans="1:8" ht="36">
      <c r="A166" s="9" t="s">
        <v>319</v>
      </c>
      <c r="B166" s="10" t="s">
        <v>5</v>
      </c>
      <c r="C166" s="9" t="s">
        <v>318</v>
      </c>
      <c r="D166" s="8" t="s">
        <v>3</v>
      </c>
      <c r="E166" s="7" t="s">
        <v>17</v>
      </c>
      <c r="F166" s="6">
        <v>3665.43</v>
      </c>
      <c r="G166" s="5">
        <v>1</v>
      </c>
      <c r="H166" s="4">
        <f>F166*G166</f>
        <v>3665.43</v>
      </c>
    </row>
    <row r="167" spans="1:8">
      <c r="E167" s="3" t="s">
        <v>317</v>
      </c>
      <c r="H167" s="2">
        <f>SUM(H166:H166)</f>
        <v>3665.43</v>
      </c>
    </row>
    <row r="169" spans="1:8">
      <c r="C169" s="11" t="s">
        <v>15</v>
      </c>
      <c r="D169" s="11" t="s">
        <v>14</v>
      </c>
      <c r="E169" s="11" t="s">
        <v>13</v>
      </c>
    </row>
    <row r="170" spans="1:8">
      <c r="C170" s="11" t="s">
        <v>12</v>
      </c>
      <c r="D170" s="11" t="s">
        <v>316</v>
      </c>
      <c r="E170" s="11" t="s">
        <v>315</v>
      </c>
    </row>
    <row r="171" spans="1:8">
      <c r="C171" s="11" t="s">
        <v>9</v>
      </c>
      <c r="D171" s="11" t="s">
        <v>8</v>
      </c>
      <c r="E171" s="11" t="s">
        <v>7</v>
      </c>
    </row>
    <row r="172" spans="1:8">
      <c r="A172" s="9" t="s">
        <v>314</v>
      </c>
      <c r="B172" s="10" t="s">
        <v>5</v>
      </c>
      <c r="C172" s="9" t="s">
        <v>313</v>
      </c>
      <c r="D172" s="8" t="s">
        <v>3</v>
      </c>
      <c r="E172" s="7" t="s">
        <v>2</v>
      </c>
      <c r="F172" s="6">
        <v>1950.95</v>
      </c>
      <c r="G172" s="5">
        <v>1</v>
      </c>
      <c r="H172" s="4">
        <f>F172*G172</f>
        <v>1950.95</v>
      </c>
    </row>
    <row r="173" spans="1:8">
      <c r="E173" s="3" t="s">
        <v>312</v>
      </c>
      <c r="H173" s="2">
        <f>SUM(H172:H172)</f>
        <v>1950.95</v>
      </c>
    </row>
    <row r="175" spans="1:8">
      <c r="E175" s="3" t="s">
        <v>948</v>
      </c>
      <c r="H175" s="2">
        <f>H173+H167+H161+H154+H137+H125+H111+H100+H91+H57+H38+H19</f>
        <v>186647.57550000001</v>
      </c>
    </row>
    <row r="177" spans="1:8">
      <c r="C177" s="11" t="s">
        <v>15</v>
      </c>
      <c r="D177" s="11" t="s">
        <v>14</v>
      </c>
      <c r="E177" s="11" t="s">
        <v>13</v>
      </c>
    </row>
    <row r="178" spans="1:8">
      <c r="C178" s="11" t="s">
        <v>12</v>
      </c>
      <c r="D178" s="11" t="s">
        <v>11</v>
      </c>
      <c r="E178" s="11" t="s">
        <v>10</v>
      </c>
    </row>
    <row r="179" spans="1:8">
      <c r="C179" s="11" t="s">
        <v>9</v>
      </c>
      <c r="D179" s="11" t="s">
        <v>14</v>
      </c>
      <c r="E179" s="11" t="s">
        <v>277</v>
      </c>
    </row>
    <row r="180" spans="1:8">
      <c r="C180" s="11" t="s">
        <v>69</v>
      </c>
      <c r="D180" s="11" t="s">
        <v>14</v>
      </c>
      <c r="E180" s="11" t="s">
        <v>311</v>
      </c>
    </row>
    <row r="181" spans="1:8" ht="24">
      <c r="A181" s="9" t="s">
        <v>300</v>
      </c>
      <c r="B181" s="10" t="s">
        <v>5</v>
      </c>
      <c r="C181" s="9" t="s">
        <v>310</v>
      </c>
      <c r="D181" s="8" t="s">
        <v>3</v>
      </c>
      <c r="E181" s="7" t="s">
        <v>309</v>
      </c>
      <c r="F181" s="6">
        <v>8280.9699999999993</v>
      </c>
      <c r="G181" s="5">
        <v>3</v>
      </c>
      <c r="H181" s="4">
        <f t="shared" ref="H181:H191" si="6">F181*G181</f>
        <v>24842.909999999996</v>
      </c>
    </row>
    <row r="182" spans="1:8">
      <c r="A182" s="9" t="s">
        <v>300</v>
      </c>
      <c r="B182" s="10" t="s">
        <v>25</v>
      </c>
      <c r="C182" s="9" t="s">
        <v>308</v>
      </c>
      <c r="D182" s="8" t="s">
        <v>3</v>
      </c>
      <c r="E182" s="7" t="s">
        <v>307</v>
      </c>
      <c r="F182" s="6">
        <v>1305.3699999999999</v>
      </c>
      <c r="G182" s="5">
        <v>4</v>
      </c>
      <c r="H182" s="4">
        <f t="shared" si="6"/>
        <v>5221.4799999999996</v>
      </c>
    </row>
    <row r="183" spans="1:8" ht="24">
      <c r="A183" s="9" t="s">
        <v>300</v>
      </c>
      <c r="B183" s="10" t="s">
        <v>47</v>
      </c>
      <c r="C183" s="9" t="s">
        <v>306</v>
      </c>
      <c r="D183" s="8" t="s">
        <v>3</v>
      </c>
      <c r="E183" s="7" t="s">
        <v>305</v>
      </c>
      <c r="F183" s="6">
        <v>3771.31</v>
      </c>
      <c r="G183" s="5">
        <v>1</v>
      </c>
      <c r="H183" s="4">
        <f t="shared" si="6"/>
        <v>3771.31</v>
      </c>
    </row>
    <row r="184" spans="1:8">
      <c r="A184" s="9" t="s">
        <v>300</v>
      </c>
      <c r="B184" s="10" t="s">
        <v>44</v>
      </c>
      <c r="C184" s="9" t="s">
        <v>218</v>
      </c>
      <c r="D184" s="8" t="s">
        <v>3</v>
      </c>
      <c r="E184" s="7" t="s">
        <v>217</v>
      </c>
      <c r="F184" s="6">
        <v>2718.29</v>
      </c>
      <c r="G184" s="5">
        <v>1</v>
      </c>
      <c r="H184" s="4">
        <f t="shared" si="6"/>
        <v>2718.29</v>
      </c>
    </row>
    <row r="185" spans="1:8" ht="24">
      <c r="A185" s="9" t="s">
        <v>300</v>
      </c>
      <c r="B185" s="10" t="s">
        <v>41</v>
      </c>
      <c r="C185" s="9" t="s">
        <v>230</v>
      </c>
      <c r="D185" s="8" t="s">
        <v>56</v>
      </c>
      <c r="E185" s="7" t="s">
        <v>229</v>
      </c>
      <c r="F185" s="6">
        <v>48.14</v>
      </c>
      <c r="G185" s="5">
        <v>24.2</v>
      </c>
      <c r="H185" s="4">
        <f t="shared" si="6"/>
        <v>1164.9880000000001</v>
      </c>
    </row>
    <row r="186" spans="1:8">
      <c r="A186" s="9" t="s">
        <v>300</v>
      </c>
      <c r="B186" s="10" t="s">
        <v>38</v>
      </c>
      <c r="C186" s="9" t="s">
        <v>228</v>
      </c>
      <c r="D186" s="8" t="s">
        <v>3</v>
      </c>
      <c r="E186" s="7" t="s">
        <v>227</v>
      </c>
      <c r="F186" s="6">
        <v>21</v>
      </c>
      <c r="G186" s="5">
        <v>2</v>
      </c>
      <c r="H186" s="4">
        <f t="shared" si="6"/>
        <v>42</v>
      </c>
    </row>
    <row r="187" spans="1:8">
      <c r="A187" s="9" t="s">
        <v>300</v>
      </c>
      <c r="B187" s="10" t="s">
        <v>34</v>
      </c>
      <c r="C187" s="9" t="s">
        <v>225</v>
      </c>
      <c r="D187" s="8" t="s">
        <v>3</v>
      </c>
      <c r="E187" s="7" t="s">
        <v>224</v>
      </c>
      <c r="F187" s="6">
        <v>19.149999999999999</v>
      </c>
      <c r="G187" s="5">
        <v>2</v>
      </c>
      <c r="H187" s="4">
        <f t="shared" si="6"/>
        <v>38.299999999999997</v>
      </c>
    </row>
    <row r="188" spans="1:8" ht="24">
      <c r="A188" s="9" t="s">
        <v>300</v>
      </c>
      <c r="B188" s="10" t="s">
        <v>83</v>
      </c>
      <c r="C188" s="9" t="s">
        <v>304</v>
      </c>
      <c r="D188" s="8" t="s">
        <v>3</v>
      </c>
      <c r="E188" s="7" t="s">
        <v>303</v>
      </c>
      <c r="F188" s="6">
        <v>388.28</v>
      </c>
      <c r="G188" s="5">
        <v>1</v>
      </c>
      <c r="H188" s="4">
        <f t="shared" si="6"/>
        <v>388.28</v>
      </c>
    </row>
    <row r="189" spans="1:8" ht="24">
      <c r="A189" s="9" t="s">
        <v>300</v>
      </c>
      <c r="B189" s="10" t="s">
        <v>80</v>
      </c>
      <c r="C189" s="9" t="s">
        <v>302</v>
      </c>
      <c r="D189" s="8" t="s">
        <v>3</v>
      </c>
      <c r="E189" s="7" t="s">
        <v>301</v>
      </c>
      <c r="F189" s="6">
        <v>99.42</v>
      </c>
      <c r="G189" s="5">
        <v>4</v>
      </c>
      <c r="H189" s="4">
        <f t="shared" si="6"/>
        <v>397.68</v>
      </c>
    </row>
    <row r="190" spans="1:8">
      <c r="A190" s="9" t="s">
        <v>300</v>
      </c>
      <c r="B190" s="10" t="s">
        <v>77</v>
      </c>
      <c r="C190" s="9" t="s">
        <v>197</v>
      </c>
      <c r="D190" s="8" t="s">
        <v>3</v>
      </c>
      <c r="E190" s="7" t="s">
        <v>196</v>
      </c>
      <c r="F190" s="6">
        <v>18.46</v>
      </c>
      <c r="G190" s="5">
        <v>4</v>
      </c>
      <c r="H190" s="4">
        <f t="shared" si="6"/>
        <v>73.84</v>
      </c>
    </row>
    <row r="191" spans="1:8" ht="24">
      <c r="A191" s="9" t="s">
        <v>300</v>
      </c>
      <c r="B191" s="10" t="s">
        <v>73</v>
      </c>
      <c r="C191" s="9" t="s">
        <v>236</v>
      </c>
      <c r="D191" s="8" t="s">
        <v>56</v>
      </c>
      <c r="E191" s="7" t="s">
        <v>235</v>
      </c>
      <c r="F191" s="6">
        <v>24.26</v>
      </c>
      <c r="G191" s="5">
        <v>24.2</v>
      </c>
      <c r="H191" s="4">
        <f t="shared" si="6"/>
        <v>587.09199999999998</v>
      </c>
    </row>
    <row r="192" spans="1:8">
      <c r="E192" s="3" t="s">
        <v>299</v>
      </c>
      <c r="H192" s="2">
        <f>SUM(H181:H191)</f>
        <v>39246.169999999991</v>
      </c>
    </row>
    <row r="194" spans="1:8">
      <c r="C194" s="11" t="s">
        <v>15</v>
      </c>
      <c r="D194" s="11" t="s">
        <v>14</v>
      </c>
      <c r="E194" s="11" t="s">
        <v>13</v>
      </c>
    </row>
    <row r="195" spans="1:8">
      <c r="C195" s="11" t="s">
        <v>12</v>
      </c>
      <c r="D195" s="11" t="s">
        <v>11</v>
      </c>
      <c r="E195" s="11" t="s">
        <v>10</v>
      </c>
    </row>
    <row r="196" spans="1:8">
      <c r="C196" s="11" t="s">
        <v>9</v>
      </c>
      <c r="D196" s="11" t="s">
        <v>14</v>
      </c>
      <c r="E196" s="11" t="s">
        <v>277</v>
      </c>
    </row>
    <row r="197" spans="1:8">
      <c r="C197" s="11" t="s">
        <v>69</v>
      </c>
      <c r="D197" s="11" t="s">
        <v>99</v>
      </c>
      <c r="E197" s="11" t="s">
        <v>298</v>
      </c>
    </row>
    <row r="198" spans="1:8">
      <c r="A198" s="9" t="s">
        <v>279</v>
      </c>
      <c r="B198" s="10" t="s">
        <v>5</v>
      </c>
      <c r="C198" s="9" t="s">
        <v>297</v>
      </c>
      <c r="D198" s="8" t="s">
        <v>3</v>
      </c>
      <c r="E198" s="7" t="s">
        <v>296</v>
      </c>
      <c r="F198" s="6">
        <v>20536.63</v>
      </c>
      <c r="G198" s="5">
        <v>6</v>
      </c>
      <c r="H198" s="4">
        <f t="shared" ref="H198:H208" si="7">F198*G198</f>
        <v>123219.78</v>
      </c>
    </row>
    <row r="199" spans="1:8">
      <c r="A199" s="9" t="s">
        <v>279</v>
      </c>
      <c r="B199" s="10" t="s">
        <v>25</v>
      </c>
      <c r="C199" s="9" t="s">
        <v>295</v>
      </c>
      <c r="D199" s="8" t="s">
        <v>3</v>
      </c>
      <c r="E199" s="7" t="s">
        <v>294</v>
      </c>
      <c r="F199" s="6">
        <v>929.9</v>
      </c>
      <c r="G199" s="5">
        <v>3</v>
      </c>
      <c r="H199" s="4">
        <f t="shared" si="7"/>
        <v>2789.7</v>
      </c>
    </row>
    <row r="200" spans="1:8">
      <c r="A200" s="9" t="s">
        <v>279</v>
      </c>
      <c r="B200" s="10" t="s">
        <v>47</v>
      </c>
      <c r="C200" s="9" t="s">
        <v>293</v>
      </c>
      <c r="D200" s="8" t="s">
        <v>3</v>
      </c>
      <c r="E200" s="7" t="s">
        <v>292</v>
      </c>
      <c r="F200" s="6">
        <v>6437.32</v>
      </c>
      <c r="G200" s="5">
        <v>1</v>
      </c>
      <c r="H200" s="4">
        <f t="shared" si="7"/>
        <v>6437.32</v>
      </c>
    </row>
    <row r="201" spans="1:8">
      <c r="A201" s="9" t="s">
        <v>279</v>
      </c>
      <c r="B201" s="10" t="s">
        <v>44</v>
      </c>
      <c r="C201" s="9" t="s">
        <v>291</v>
      </c>
      <c r="D201" s="8" t="s">
        <v>3</v>
      </c>
      <c r="E201" s="7" t="s">
        <v>290</v>
      </c>
      <c r="F201" s="6">
        <v>179.76</v>
      </c>
      <c r="G201" s="5">
        <v>2</v>
      </c>
      <c r="H201" s="4">
        <f t="shared" si="7"/>
        <v>359.52</v>
      </c>
    </row>
    <row r="202" spans="1:8" ht="24">
      <c r="A202" s="9" t="s">
        <v>279</v>
      </c>
      <c r="B202" s="10" t="s">
        <v>41</v>
      </c>
      <c r="C202" s="9" t="s">
        <v>289</v>
      </c>
      <c r="D202" s="8" t="s">
        <v>3</v>
      </c>
      <c r="E202" s="7" t="s">
        <v>288</v>
      </c>
      <c r="F202" s="6">
        <v>57.32</v>
      </c>
      <c r="G202" s="5">
        <v>24</v>
      </c>
      <c r="H202" s="4">
        <f t="shared" si="7"/>
        <v>1375.68</v>
      </c>
    </row>
    <row r="203" spans="1:8">
      <c r="A203" s="9" t="s">
        <v>279</v>
      </c>
      <c r="B203" s="10" t="s">
        <v>38</v>
      </c>
      <c r="C203" s="9" t="s">
        <v>287</v>
      </c>
      <c r="D203" s="8" t="s">
        <v>3</v>
      </c>
      <c r="E203" s="7" t="s">
        <v>286</v>
      </c>
      <c r="F203" s="6">
        <v>31.9</v>
      </c>
      <c r="G203" s="5">
        <v>12</v>
      </c>
      <c r="H203" s="4">
        <f t="shared" si="7"/>
        <v>382.79999999999995</v>
      </c>
    </row>
    <row r="204" spans="1:8">
      <c r="A204" s="9" t="s">
        <v>279</v>
      </c>
      <c r="B204" s="10" t="s">
        <v>34</v>
      </c>
      <c r="C204" s="9" t="s">
        <v>285</v>
      </c>
      <c r="D204" s="8" t="s">
        <v>3</v>
      </c>
      <c r="E204" s="7" t="s">
        <v>284</v>
      </c>
      <c r="F204" s="6">
        <v>27.26</v>
      </c>
      <c r="G204" s="5">
        <v>24</v>
      </c>
      <c r="H204" s="4">
        <f t="shared" si="7"/>
        <v>654.24</v>
      </c>
    </row>
    <row r="205" spans="1:8" ht="24">
      <c r="A205" s="9" t="s">
        <v>279</v>
      </c>
      <c r="B205" s="10" t="s">
        <v>83</v>
      </c>
      <c r="C205" s="9" t="s">
        <v>283</v>
      </c>
      <c r="D205" s="8" t="s">
        <v>3</v>
      </c>
      <c r="E205" s="7" t="s">
        <v>282</v>
      </c>
      <c r="F205" s="6">
        <v>139.28</v>
      </c>
      <c r="G205" s="5">
        <v>4</v>
      </c>
      <c r="H205" s="4">
        <f t="shared" si="7"/>
        <v>557.12</v>
      </c>
    </row>
    <row r="206" spans="1:8" ht="24">
      <c r="A206" s="9" t="s">
        <v>279</v>
      </c>
      <c r="B206" s="10" t="s">
        <v>80</v>
      </c>
      <c r="C206" s="9" t="s">
        <v>281</v>
      </c>
      <c r="D206" s="8" t="s">
        <v>56</v>
      </c>
      <c r="E206" s="7" t="s">
        <v>280</v>
      </c>
      <c r="F206" s="6">
        <v>35.39</v>
      </c>
      <c r="G206" s="5">
        <v>50.6</v>
      </c>
      <c r="H206" s="4">
        <f t="shared" si="7"/>
        <v>1790.7340000000002</v>
      </c>
    </row>
    <row r="207" spans="1:8">
      <c r="A207" s="9" t="s">
        <v>279</v>
      </c>
      <c r="B207" s="10" t="s">
        <v>77</v>
      </c>
      <c r="C207" s="9" t="s">
        <v>252</v>
      </c>
      <c r="D207" s="8" t="s">
        <v>3</v>
      </c>
      <c r="E207" s="7" t="s">
        <v>251</v>
      </c>
      <c r="F207" s="6">
        <v>100.49</v>
      </c>
      <c r="G207" s="5">
        <v>1</v>
      </c>
      <c r="H207" s="4">
        <f t="shared" si="7"/>
        <v>100.49</v>
      </c>
    </row>
    <row r="208" spans="1:8" ht="24">
      <c r="A208" s="9" t="s">
        <v>279</v>
      </c>
      <c r="B208" s="10" t="s">
        <v>73</v>
      </c>
      <c r="C208" s="9" t="s">
        <v>240</v>
      </c>
      <c r="D208" s="8" t="s">
        <v>56</v>
      </c>
      <c r="E208" s="7" t="s">
        <v>239</v>
      </c>
      <c r="F208" s="6">
        <v>21.36</v>
      </c>
      <c r="G208" s="5">
        <v>50.6</v>
      </c>
      <c r="H208" s="4">
        <f t="shared" si="7"/>
        <v>1080.816</v>
      </c>
    </row>
    <row r="209" spans="1:8">
      <c r="E209" s="3" t="s">
        <v>278</v>
      </c>
      <c r="H209" s="2">
        <f>SUM(H198:H208)</f>
        <v>138748.19999999992</v>
      </c>
    </row>
    <row r="211" spans="1:8">
      <c r="C211" s="11" t="s">
        <v>15</v>
      </c>
      <c r="D211" s="11" t="s">
        <v>14</v>
      </c>
      <c r="E211" s="11" t="s">
        <v>13</v>
      </c>
    </row>
    <row r="212" spans="1:8">
      <c r="C212" s="11" t="s">
        <v>12</v>
      </c>
      <c r="D212" s="11" t="s">
        <v>11</v>
      </c>
      <c r="E212" s="11" t="s">
        <v>10</v>
      </c>
    </row>
    <row r="213" spans="1:8">
      <c r="C213" s="11" t="s">
        <v>9</v>
      </c>
      <c r="D213" s="11" t="s">
        <v>14</v>
      </c>
      <c r="E213" s="11" t="s">
        <v>277</v>
      </c>
    </row>
    <row r="214" spans="1:8">
      <c r="C214" s="11" t="s">
        <v>69</v>
      </c>
      <c r="D214" s="11" t="s">
        <v>68</v>
      </c>
      <c r="E214" s="11" t="s">
        <v>276</v>
      </c>
    </row>
    <row r="215" spans="1:8">
      <c r="A215" s="9" t="s">
        <v>238</v>
      </c>
      <c r="B215" s="10" t="s">
        <v>5</v>
      </c>
      <c r="C215" s="9" t="s">
        <v>275</v>
      </c>
      <c r="D215" s="8" t="s">
        <v>3</v>
      </c>
      <c r="E215" s="7" t="s">
        <v>274</v>
      </c>
      <c r="F215" s="6">
        <v>418.48</v>
      </c>
      <c r="G215" s="5">
        <v>24</v>
      </c>
      <c r="H215" s="4">
        <f t="shared" ref="H215:H234" si="8">F215*G215</f>
        <v>10043.52</v>
      </c>
    </row>
    <row r="216" spans="1:8">
      <c r="A216" s="9" t="s">
        <v>238</v>
      </c>
      <c r="B216" s="10" t="s">
        <v>25</v>
      </c>
      <c r="C216" s="9" t="s">
        <v>273</v>
      </c>
      <c r="D216" s="8" t="s">
        <v>3</v>
      </c>
      <c r="E216" s="7" t="s">
        <v>272</v>
      </c>
      <c r="F216" s="6">
        <v>6565.02</v>
      </c>
      <c r="G216" s="5">
        <v>1</v>
      </c>
      <c r="H216" s="4">
        <f t="shared" si="8"/>
        <v>6565.02</v>
      </c>
    </row>
    <row r="217" spans="1:8" ht="24">
      <c r="A217" s="9" t="s">
        <v>238</v>
      </c>
      <c r="B217" s="10" t="s">
        <v>47</v>
      </c>
      <c r="C217" s="9" t="s">
        <v>271</v>
      </c>
      <c r="D217" s="8" t="s">
        <v>3</v>
      </c>
      <c r="E217" s="7" t="s">
        <v>270</v>
      </c>
      <c r="F217" s="6">
        <v>105.43</v>
      </c>
      <c r="G217" s="5">
        <v>6</v>
      </c>
      <c r="H217" s="4">
        <f t="shared" si="8"/>
        <v>632.58000000000004</v>
      </c>
    </row>
    <row r="218" spans="1:8" ht="24">
      <c r="A218" s="9" t="s">
        <v>238</v>
      </c>
      <c r="B218" s="10" t="s">
        <v>44</v>
      </c>
      <c r="C218" s="9" t="s">
        <v>269</v>
      </c>
      <c r="D218" s="8" t="s">
        <v>3</v>
      </c>
      <c r="E218" s="7" t="s">
        <v>268</v>
      </c>
      <c r="F218" s="6">
        <v>9027.06</v>
      </c>
      <c r="G218" s="5">
        <v>2</v>
      </c>
      <c r="H218" s="4">
        <f t="shared" si="8"/>
        <v>18054.12</v>
      </c>
    </row>
    <row r="219" spans="1:8" ht="24">
      <c r="A219" s="9" t="s">
        <v>238</v>
      </c>
      <c r="B219" s="10" t="s">
        <v>41</v>
      </c>
      <c r="C219" s="9" t="s">
        <v>267</v>
      </c>
      <c r="D219" s="8" t="s">
        <v>3</v>
      </c>
      <c r="E219" s="7" t="s">
        <v>266</v>
      </c>
      <c r="F219" s="6">
        <v>1365.13</v>
      </c>
      <c r="G219" s="5">
        <v>6</v>
      </c>
      <c r="H219" s="4">
        <f t="shared" si="8"/>
        <v>8190.7800000000007</v>
      </c>
    </row>
    <row r="220" spans="1:8" ht="24">
      <c r="A220" s="9" t="s">
        <v>238</v>
      </c>
      <c r="B220" s="10" t="s">
        <v>38</v>
      </c>
      <c r="C220" s="9" t="s">
        <v>265</v>
      </c>
      <c r="D220" s="8" t="s">
        <v>56</v>
      </c>
      <c r="E220" s="7" t="s">
        <v>264</v>
      </c>
      <c r="F220" s="6">
        <v>47.24</v>
      </c>
      <c r="G220" s="5">
        <v>40</v>
      </c>
      <c r="H220" s="4">
        <f t="shared" si="8"/>
        <v>1889.6000000000001</v>
      </c>
    </row>
    <row r="221" spans="1:8" ht="24">
      <c r="A221" s="9" t="s">
        <v>238</v>
      </c>
      <c r="B221" s="10" t="s">
        <v>34</v>
      </c>
      <c r="C221" s="9" t="s">
        <v>263</v>
      </c>
      <c r="D221" s="8" t="s">
        <v>56</v>
      </c>
      <c r="E221" s="7" t="s">
        <v>262</v>
      </c>
      <c r="F221" s="6">
        <v>152.69999999999999</v>
      </c>
      <c r="G221" s="5">
        <v>54</v>
      </c>
      <c r="H221" s="4">
        <f t="shared" si="8"/>
        <v>8245.7999999999993</v>
      </c>
    </row>
    <row r="222" spans="1:8" ht="24">
      <c r="A222" s="9" t="s">
        <v>238</v>
      </c>
      <c r="B222" s="10" t="s">
        <v>83</v>
      </c>
      <c r="C222" s="9" t="s">
        <v>261</v>
      </c>
      <c r="D222" s="8" t="s">
        <v>56</v>
      </c>
      <c r="E222" s="7" t="s">
        <v>260</v>
      </c>
      <c r="F222" s="6">
        <v>57.79</v>
      </c>
      <c r="G222" s="5">
        <v>102</v>
      </c>
      <c r="H222" s="4">
        <f t="shared" si="8"/>
        <v>5894.58</v>
      </c>
    </row>
    <row r="223" spans="1:8" ht="24">
      <c r="A223" s="9" t="s">
        <v>238</v>
      </c>
      <c r="B223" s="10" t="s">
        <v>80</v>
      </c>
      <c r="C223" s="9" t="s">
        <v>259</v>
      </c>
      <c r="D223" s="8" t="s">
        <v>56</v>
      </c>
      <c r="E223" s="7" t="s">
        <v>258</v>
      </c>
      <c r="F223" s="6">
        <v>20.04</v>
      </c>
      <c r="G223" s="5">
        <v>35</v>
      </c>
      <c r="H223" s="4">
        <f t="shared" si="8"/>
        <v>701.4</v>
      </c>
    </row>
    <row r="224" spans="1:8">
      <c r="A224" s="9" t="s">
        <v>238</v>
      </c>
      <c r="B224" s="10" t="s">
        <v>77</v>
      </c>
      <c r="C224" s="9" t="s">
        <v>257</v>
      </c>
      <c r="D224" s="8" t="s">
        <v>3</v>
      </c>
      <c r="E224" s="7" t="s">
        <v>256</v>
      </c>
      <c r="F224" s="6">
        <v>61.54</v>
      </c>
      <c r="G224" s="5">
        <v>4</v>
      </c>
      <c r="H224" s="4">
        <f t="shared" si="8"/>
        <v>246.16</v>
      </c>
    </row>
    <row r="225" spans="1:8">
      <c r="A225" s="9" t="s">
        <v>238</v>
      </c>
      <c r="B225" s="10" t="s">
        <v>73</v>
      </c>
      <c r="C225" s="9" t="s">
        <v>255</v>
      </c>
      <c r="D225" s="8" t="s">
        <v>254</v>
      </c>
      <c r="E225" s="7" t="s">
        <v>253</v>
      </c>
      <c r="F225" s="6">
        <v>442.75</v>
      </c>
      <c r="G225" s="5">
        <v>25</v>
      </c>
      <c r="H225" s="4">
        <f t="shared" si="8"/>
        <v>11068.75</v>
      </c>
    </row>
    <row r="226" spans="1:8">
      <c r="A226" s="9" t="s">
        <v>238</v>
      </c>
      <c r="B226" s="10" t="s">
        <v>198</v>
      </c>
      <c r="C226" s="9" t="s">
        <v>252</v>
      </c>
      <c r="D226" s="8" t="s">
        <v>3</v>
      </c>
      <c r="E226" s="7" t="s">
        <v>251</v>
      </c>
      <c r="F226" s="6">
        <v>100.49</v>
      </c>
      <c r="G226" s="5">
        <v>1</v>
      </c>
      <c r="H226" s="4">
        <f t="shared" si="8"/>
        <v>100.49</v>
      </c>
    </row>
    <row r="227" spans="1:8">
      <c r="A227" s="9" t="s">
        <v>238</v>
      </c>
      <c r="B227" s="10" t="s">
        <v>195</v>
      </c>
      <c r="C227" s="9" t="s">
        <v>228</v>
      </c>
      <c r="D227" s="8" t="s">
        <v>3</v>
      </c>
      <c r="E227" s="7" t="s">
        <v>227</v>
      </c>
      <c r="F227" s="6">
        <v>21</v>
      </c>
      <c r="G227" s="5">
        <v>2</v>
      </c>
      <c r="H227" s="4">
        <f t="shared" si="8"/>
        <v>42</v>
      </c>
    </row>
    <row r="228" spans="1:8">
      <c r="A228" s="9" t="s">
        <v>238</v>
      </c>
      <c r="B228" s="10" t="s">
        <v>192</v>
      </c>
      <c r="C228" s="9" t="s">
        <v>225</v>
      </c>
      <c r="D228" s="8" t="s">
        <v>3</v>
      </c>
      <c r="E228" s="7" t="s">
        <v>224</v>
      </c>
      <c r="F228" s="6">
        <v>19.149999999999999</v>
      </c>
      <c r="G228" s="5">
        <v>2</v>
      </c>
      <c r="H228" s="4">
        <f t="shared" si="8"/>
        <v>38.299999999999997</v>
      </c>
    </row>
    <row r="229" spans="1:8">
      <c r="A229" s="9" t="s">
        <v>238</v>
      </c>
      <c r="B229" s="10" t="s">
        <v>189</v>
      </c>
      <c r="C229" s="9" t="s">
        <v>250</v>
      </c>
      <c r="D229" s="8" t="s">
        <v>3</v>
      </c>
      <c r="E229" s="7" t="s">
        <v>249</v>
      </c>
      <c r="F229" s="6">
        <v>506.19</v>
      </c>
      <c r="G229" s="5">
        <v>1</v>
      </c>
      <c r="H229" s="4">
        <f t="shared" si="8"/>
        <v>506.19</v>
      </c>
    </row>
    <row r="230" spans="1:8">
      <c r="A230" s="9" t="s">
        <v>238</v>
      </c>
      <c r="B230" s="10" t="s">
        <v>185</v>
      </c>
      <c r="C230" s="9" t="s">
        <v>248</v>
      </c>
      <c r="D230" s="8" t="s">
        <v>3</v>
      </c>
      <c r="E230" s="7" t="s">
        <v>247</v>
      </c>
      <c r="F230" s="6">
        <v>53.72</v>
      </c>
      <c r="G230" s="5">
        <v>1</v>
      </c>
      <c r="H230" s="4">
        <f t="shared" si="8"/>
        <v>53.72</v>
      </c>
    </row>
    <row r="231" spans="1:8">
      <c r="A231" s="9" t="s">
        <v>238</v>
      </c>
      <c r="B231" s="10" t="s">
        <v>246</v>
      </c>
      <c r="C231" s="9" t="s">
        <v>245</v>
      </c>
      <c r="D231" s="8" t="s">
        <v>3</v>
      </c>
      <c r="E231" s="7" t="s">
        <v>183</v>
      </c>
      <c r="F231" s="6">
        <v>974.1</v>
      </c>
      <c r="G231" s="5">
        <v>8</v>
      </c>
      <c r="H231" s="4">
        <f t="shared" si="8"/>
        <v>7792.8</v>
      </c>
    </row>
    <row r="232" spans="1:8" ht="24">
      <c r="A232" s="9" t="s">
        <v>238</v>
      </c>
      <c r="B232" s="10" t="s">
        <v>244</v>
      </c>
      <c r="C232" s="9" t="s">
        <v>243</v>
      </c>
      <c r="D232" s="8" t="s">
        <v>56</v>
      </c>
      <c r="E232" s="7" t="s">
        <v>242</v>
      </c>
      <c r="F232" s="6">
        <v>15.78</v>
      </c>
      <c r="G232" s="5">
        <v>35</v>
      </c>
      <c r="H232" s="4">
        <f t="shared" si="8"/>
        <v>552.29999999999995</v>
      </c>
    </row>
    <row r="233" spans="1:8" ht="24">
      <c r="A233" s="9" t="s">
        <v>238</v>
      </c>
      <c r="B233" s="10" t="s">
        <v>241</v>
      </c>
      <c r="C233" s="9" t="s">
        <v>240</v>
      </c>
      <c r="D233" s="8" t="s">
        <v>56</v>
      </c>
      <c r="E233" s="7" t="s">
        <v>239</v>
      </c>
      <c r="F233" s="6">
        <v>21.36</v>
      </c>
      <c r="G233" s="5">
        <v>54</v>
      </c>
      <c r="H233" s="4">
        <f t="shared" si="8"/>
        <v>1153.44</v>
      </c>
    </row>
    <row r="234" spans="1:8" ht="24">
      <c r="A234" s="9" t="s">
        <v>238</v>
      </c>
      <c r="B234" s="10" t="s">
        <v>237</v>
      </c>
      <c r="C234" s="9" t="s">
        <v>236</v>
      </c>
      <c r="D234" s="8" t="s">
        <v>56</v>
      </c>
      <c r="E234" s="7" t="s">
        <v>235</v>
      </c>
      <c r="F234" s="6">
        <v>24.26</v>
      </c>
      <c r="G234" s="5">
        <v>40</v>
      </c>
      <c r="H234" s="4">
        <f t="shared" si="8"/>
        <v>970.40000000000009</v>
      </c>
    </row>
    <row r="235" spans="1:8">
      <c r="E235" s="3" t="s">
        <v>234</v>
      </c>
      <c r="H235" s="2">
        <f>SUM(H215:H234)</f>
        <v>82741.950000000012</v>
      </c>
    </row>
    <row r="237" spans="1:8">
      <c r="C237" s="11" t="s">
        <v>15</v>
      </c>
      <c r="D237" s="11" t="s">
        <v>14</v>
      </c>
      <c r="E237" s="11" t="s">
        <v>13</v>
      </c>
    </row>
    <row r="238" spans="1:8">
      <c r="C238" s="11" t="s">
        <v>12</v>
      </c>
      <c r="D238" s="11" t="s">
        <v>11</v>
      </c>
      <c r="E238" s="11" t="s">
        <v>10</v>
      </c>
    </row>
    <row r="239" spans="1:8">
      <c r="C239" s="11" t="s">
        <v>9</v>
      </c>
      <c r="D239" s="11" t="s">
        <v>99</v>
      </c>
      <c r="E239" s="11" t="s">
        <v>222</v>
      </c>
    </row>
    <row r="240" spans="1:8">
      <c r="C240" s="11" t="s">
        <v>69</v>
      </c>
      <c r="D240" s="11" t="s">
        <v>14</v>
      </c>
      <c r="E240" s="11" t="s">
        <v>233</v>
      </c>
    </row>
    <row r="241" spans="1:8">
      <c r="A241" s="9" t="s">
        <v>226</v>
      </c>
      <c r="B241" s="10" t="s">
        <v>5</v>
      </c>
      <c r="C241" s="9" t="s">
        <v>232</v>
      </c>
      <c r="D241" s="8" t="s">
        <v>3</v>
      </c>
      <c r="E241" s="7" t="s">
        <v>231</v>
      </c>
      <c r="F241" s="6">
        <v>85.47</v>
      </c>
      <c r="G241" s="5">
        <v>8</v>
      </c>
      <c r="H241" s="4">
        <f>F241*G241</f>
        <v>683.76</v>
      </c>
    </row>
    <row r="242" spans="1:8" ht="24">
      <c r="A242" s="9" t="s">
        <v>226</v>
      </c>
      <c r="B242" s="10" t="s">
        <v>25</v>
      </c>
      <c r="C242" s="9" t="s">
        <v>230</v>
      </c>
      <c r="D242" s="8" t="s">
        <v>56</v>
      </c>
      <c r="E242" s="7" t="s">
        <v>229</v>
      </c>
      <c r="F242" s="6">
        <v>48.14</v>
      </c>
      <c r="G242" s="5">
        <v>110</v>
      </c>
      <c r="H242" s="4">
        <f>F242*G242</f>
        <v>5295.4</v>
      </c>
    </row>
    <row r="243" spans="1:8">
      <c r="A243" s="9" t="s">
        <v>226</v>
      </c>
      <c r="B243" s="10" t="s">
        <v>47</v>
      </c>
      <c r="C243" s="9" t="s">
        <v>228</v>
      </c>
      <c r="D243" s="8" t="s">
        <v>3</v>
      </c>
      <c r="E243" s="7" t="s">
        <v>227</v>
      </c>
      <c r="F243" s="6">
        <v>21</v>
      </c>
      <c r="G243" s="5">
        <v>4</v>
      </c>
      <c r="H243" s="4">
        <f>F243*G243</f>
        <v>84</v>
      </c>
    </row>
    <row r="244" spans="1:8">
      <c r="A244" s="9" t="s">
        <v>226</v>
      </c>
      <c r="B244" s="10" t="s">
        <v>44</v>
      </c>
      <c r="C244" s="9" t="s">
        <v>225</v>
      </c>
      <c r="D244" s="8" t="s">
        <v>3</v>
      </c>
      <c r="E244" s="7" t="s">
        <v>224</v>
      </c>
      <c r="F244" s="6">
        <v>19.149999999999999</v>
      </c>
      <c r="G244" s="5">
        <v>4</v>
      </c>
      <c r="H244" s="4">
        <f>F244*G244</f>
        <v>76.599999999999994</v>
      </c>
    </row>
    <row r="245" spans="1:8">
      <c r="E245" s="3" t="s">
        <v>223</v>
      </c>
      <c r="H245" s="2">
        <f>SUM(H241:H244)</f>
        <v>6139.76</v>
      </c>
    </row>
    <row r="247" spans="1:8">
      <c r="C247" s="11" t="s">
        <v>15</v>
      </c>
      <c r="D247" s="11" t="s">
        <v>14</v>
      </c>
      <c r="E247" s="11" t="s">
        <v>13</v>
      </c>
    </row>
    <row r="248" spans="1:8">
      <c r="C248" s="11" t="s">
        <v>12</v>
      </c>
      <c r="D248" s="11" t="s">
        <v>11</v>
      </c>
      <c r="E248" s="11" t="s">
        <v>10</v>
      </c>
    </row>
    <row r="249" spans="1:8">
      <c r="C249" s="11" t="s">
        <v>9</v>
      </c>
      <c r="D249" s="11" t="s">
        <v>99</v>
      </c>
      <c r="E249" s="11" t="s">
        <v>222</v>
      </c>
    </row>
    <row r="250" spans="1:8">
      <c r="C250" s="11" t="s">
        <v>69</v>
      </c>
      <c r="D250" s="11" t="s">
        <v>99</v>
      </c>
      <c r="E250" s="11" t="s">
        <v>221</v>
      </c>
    </row>
    <row r="251" spans="1:8">
      <c r="A251" s="9" t="s">
        <v>186</v>
      </c>
      <c r="B251" s="10" t="s">
        <v>5</v>
      </c>
      <c r="C251" s="9" t="s">
        <v>220</v>
      </c>
      <c r="D251" s="8" t="s">
        <v>3</v>
      </c>
      <c r="E251" s="7" t="s">
        <v>219</v>
      </c>
      <c r="F251" s="6">
        <v>9268.9</v>
      </c>
      <c r="G251" s="5">
        <v>1</v>
      </c>
      <c r="H251" s="4">
        <f t="shared" ref="H251:H266" si="9">F251*G251</f>
        <v>9268.9</v>
      </c>
    </row>
    <row r="252" spans="1:8">
      <c r="A252" s="9" t="s">
        <v>186</v>
      </c>
      <c r="B252" s="10" t="s">
        <v>25</v>
      </c>
      <c r="C252" s="9" t="s">
        <v>218</v>
      </c>
      <c r="D252" s="8" t="s">
        <v>3</v>
      </c>
      <c r="E252" s="7" t="s">
        <v>217</v>
      </c>
      <c r="F252" s="6">
        <v>2718.29</v>
      </c>
      <c r="G252" s="5">
        <v>3</v>
      </c>
      <c r="H252" s="4">
        <f t="shared" si="9"/>
        <v>8154.87</v>
      </c>
    </row>
    <row r="253" spans="1:8">
      <c r="A253" s="9" t="s">
        <v>186</v>
      </c>
      <c r="B253" s="10" t="s">
        <v>47</v>
      </c>
      <c r="C253" s="9" t="s">
        <v>216</v>
      </c>
      <c r="D253" s="8" t="s">
        <v>3</v>
      </c>
      <c r="E253" s="7" t="s">
        <v>215</v>
      </c>
      <c r="F253" s="6">
        <v>1512.06</v>
      </c>
      <c r="G253" s="5">
        <v>1</v>
      </c>
      <c r="H253" s="4">
        <f t="shared" si="9"/>
        <v>1512.06</v>
      </c>
    </row>
    <row r="254" spans="1:8">
      <c r="A254" s="9" t="s">
        <v>186</v>
      </c>
      <c r="B254" s="10" t="s">
        <v>44</v>
      </c>
      <c r="C254" s="9" t="s">
        <v>214</v>
      </c>
      <c r="D254" s="8" t="s">
        <v>3</v>
      </c>
      <c r="E254" s="7" t="s">
        <v>213</v>
      </c>
      <c r="F254" s="6">
        <v>2148.7399999999998</v>
      </c>
      <c r="G254" s="5">
        <v>1</v>
      </c>
      <c r="H254" s="4">
        <f t="shared" si="9"/>
        <v>2148.7399999999998</v>
      </c>
    </row>
    <row r="255" spans="1:8">
      <c r="A255" s="9" t="s">
        <v>186</v>
      </c>
      <c r="B255" s="10" t="s">
        <v>41</v>
      </c>
      <c r="C255" s="9" t="s">
        <v>212</v>
      </c>
      <c r="D255" s="8" t="s">
        <v>3</v>
      </c>
      <c r="E255" s="7" t="s">
        <v>211</v>
      </c>
      <c r="F255" s="6">
        <v>1077.49</v>
      </c>
      <c r="G255" s="5">
        <v>1</v>
      </c>
      <c r="H255" s="4">
        <f t="shared" si="9"/>
        <v>1077.49</v>
      </c>
    </row>
    <row r="256" spans="1:8" ht="24">
      <c r="A256" s="9" t="s">
        <v>186</v>
      </c>
      <c r="B256" s="10" t="s">
        <v>38</v>
      </c>
      <c r="C256" s="9" t="s">
        <v>210</v>
      </c>
      <c r="D256" s="8" t="s">
        <v>3</v>
      </c>
      <c r="E256" s="7" t="s">
        <v>209</v>
      </c>
      <c r="F256" s="6">
        <v>71.14</v>
      </c>
      <c r="G256" s="5">
        <v>10</v>
      </c>
      <c r="H256" s="4">
        <f t="shared" si="9"/>
        <v>711.4</v>
      </c>
    </row>
    <row r="257" spans="1:8" ht="24">
      <c r="A257" s="9" t="s">
        <v>186</v>
      </c>
      <c r="B257" s="10" t="s">
        <v>34</v>
      </c>
      <c r="C257" s="9" t="s">
        <v>208</v>
      </c>
      <c r="D257" s="8" t="s">
        <v>3</v>
      </c>
      <c r="E257" s="7" t="s">
        <v>207</v>
      </c>
      <c r="F257" s="6">
        <v>812.95</v>
      </c>
      <c r="G257" s="5">
        <v>1</v>
      </c>
      <c r="H257" s="4">
        <f t="shared" si="9"/>
        <v>812.95</v>
      </c>
    </row>
    <row r="258" spans="1:8">
      <c r="A258" s="9" t="s">
        <v>186</v>
      </c>
      <c r="B258" s="10" t="s">
        <v>83</v>
      </c>
      <c r="C258" s="9" t="s">
        <v>206</v>
      </c>
      <c r="D258" s="8" t="s">
        <v>3</v>
      </c>
      <c r="E258" s="7" t="s">
        <v>205</v>
      </c>
      <c r="F258" s="6">
        <v>1002.87</v>
      </c>
      <c r="G258" s="5">
        <v>1</v>
      </c>
      <c r="H258" s="4">
        <f t="shared" si="9"/>
        <v>1002.87</v>
      </c>
    </row>
    <row r="259" spans="1:8">
      <c r="A259" s="9" t="s">
        <v>186</v>
      </c>
      <c r="B259" s="10" t="s">
        <v>80</v>
      </c>
      <c r="C259" s="9" t="s">
        <v>204</v>
      </c>
      <c r="D259" s="8" t="s">
        <v>3</v>
      </c>
      <c r="E259" s="7" t="s">
        <v>203</v>
      </c>
      <c r="F259" s="6">
        <v>1268.18</v>
      </c>
      <c r="G259" s="5">
        <v>2</v>
      </c>
      <c r="H259" s="4">
        <f t="shared" si="9"/>
        <v>2536.36</v>
      </c>
    </row>
    <row r="260" spans="1:8" ht="24">
      <c r="A260" s="9" t="s">
        <v>186</v>
      </c>
      <c r="B260" s="10" t="s">
        <v>77</v>
      </c>
      <c r="C260" s="9" t="s">
        <v>202</v>
      </c>
      <c r="D260" s="8" t="s">
        <v>3</v>
      </c>
      <c r="E260" s="7" t="s">
        <v>201</v>
      </c>
      <c r="F260" s="6">
        <v>1434.9</v>
      </c>
      <c r="G260" s="5">
        <v>1</v>
      </c>
      <c r="H260" s="4">
        <f t="shared" si="9"/>
        <v>1434.9</v>
      </c>
    </row>
    <row r="261" spans="1:8">
      <c r="A261" s="9" t="s">
        <v>186</v>
      </c>
      <c r="B261" s="10" t="s">
        <v>73</v>
      </c>
      <c r="C261" s="9" t="s">
        <v>200</v>
      </c>
      <c r="D261" s="8" t="s">
        <v>3</v>
      </c>
      <c r="E261" s="7" t="s">
        <v>199</v>
      </c>
      <c r="F261" s="6">
        <v>24546.7</v>
      </c>
      <c r="G261" s="5">
        <v>1</v>
      </c>
      <c r="H261" s="4">
        <f t="shared" si="9"/>
        <v>24546.7</v>
      </c>
    </row>
    <row r="262" spans="1:8">
      <c r="A262" s="9" t="s">
        <v>186</v>
      </c>
      <c r="B262" s="10" t="s">
        <v>198</v>
      </c>
      <c r="C262" s="9" t="s">
        <v>197</v>
      </c>
      <c r="D262" s="8" t="s">
        <v>3</v>
      </c>
      <c r="E262" s="7" t="s">
        <v>196</v>
      </c>
      <c r="F262" s="6">
        <v>18.46</v>
      </c>
      <c r="G262" s="5">
        <v>2</v>
      </c>
      <c r="H262" s="4">
        <f t="shared" si="9"/>
        <v>36.92</v>
      </c>
    </row>
    <row r="263" spans="1:8" ht="24">
      <c r="A263" s="9" t="s">
        <v>186</v>
      </c>
      <c r="B263" s="10" t="s">
        <v>195</v>
      </c>
      <c r="C263" s="9" t="s">
        <v>194</v>
      </c>
      <c r="D263" s="8" t="s">
        <v>56</v>
      </c>
      <c r="E263" s="7" t="s">
        <v>193</v>
      </c>
      <c r="F263" s="6">
        <v>17.329999999999998</v>
      </c>
      <c r="G263" s="5">
        <v>130</v>
      </c>
      <c r="H263" s="4">
        <f t="shared" si="9"/>
        <v>2252.8999999999996</v>
      </c>
    </row>
    <row r="264" spans="1:8" ht="24">
      <c r="A264" s="9" t="s">
        <v>186</v>
      </c>
      <c r="B264" s="10" t="s">
        <v>192</v>
      </c>
      <c r="C264" s="9" t="s">
        <v>191</v>
      </c>
      <c r="D264" s="8" t="s">
        <v>56</v>
      </c>
      <c r="E264" s="7" t="s">
        <v>190</v>
      </c>
      <c r="F264" s="6">
        <v>9.57</v>
      </c>
      <c r="G264" s="5">
        <v>30</v>
      </c>
      <c r="H264" s="4">
        <f t="shared" si="9"/>
        <v>287.10000000000002</v>
      </c>
    </row>
    <row r="265" spans="1:8" ht="24">
      <c r="A265" s="9" t="s">
        <v>186</v>
      </c>
      <c r="B265" s="10" t="s">
        <v>189</v>
      </c>
      <c r="C265" s="9" t="s">
        <v>188</v>
      </c>
      <c r="D265" s="8" t="s">
        <v>56</v>
      </c>
      <c r="E265" s="7" t="s">
        <v>187</v>
      </c>
      <c r="F265" s="6">
        <v>10.89</v>
      </c>
      <c r="G265" s="5">
        <v>36</v>
      </c>
      <c r="H265" s="4">
        <f t="shared" si="9"/>
        <v>392.04</v>
      </c>
    </row>
    <row r="266" spans="1:8">
      <c r="A266" s="9" t="s">
        <v>186</v>
      </c>
      <c r="B266" s="10" t="s">
        <v>185</v>
      </c>
      <c r="C266" s="9" t="s">
        <v>184</v>
      </c>
      <c r="D266" s="8" t="s">
        <v>3</v>
      </c>
      <c r="E266" s="7" t="s">
        <v>183</v>
      </c>
      <c r="F266" s="6">
        <v>972.38</v>
      </c>
      <c r="G266" s="5">
        <v>4</v>
      </c>
      <c r="H266" s="4">
        <f t="shared" si="9"/>
        <v>3889.52</v>
      </c>
    </row>
    <row r="267" spans="1:8">
      <c r="E267" s="3" t="s">
        <v>182</v>
      </c>
      <c r="H267" s="2">
        <f>SUM(H251:H266)</f>
        <v>60065.72</v>
      </c>
    </row>
    <row r="269" spans="1:8">
      <c r="C269" s="11" t="s">
        <v>15</v>
      </c>
      <c r="D269" s="11" t="s">
        <v>14</v>
      </c>
      <c r="E269" s="11" t="s">
        <v>13</v>
      </c>
    </row>
    <row r="270" spans="1:8">
      <c r="C270" s="11" t="s">
        <v>12</v>
      </c>
      <c r="D270" s="11" t="s">
        <v>11</v>
      </c>
      <c r="E270" s="11" t="s">
        <v>10</v>
      </c>
    </row>
    <row r="271" spans="1:8">
      <c r="C271" s="11" t="s">
        <v>9</v>
      </c>
      <c r="D271" s="11" t="s">
        <v>68</v>
      </c>
      <c r="E271" s="11" t="s">
        <v>118</v>
      </c>
    </row>
    <row r="272" spans="1:8">
      <c r="C272" s="11" t="s">
        <v>69</v>
      </c>
      <c r="D272" s="11" t="s">
        <v>14</v>
      </c>
      <c r="E272" s="11" t="s">
        <v>170</v>
      </c>
    </row>
    <row r="273" spans="1:8">
      <c r="C273" s="11" t="s">
        <v>144</v>
      </c>
      <c r="D273" s="11" t="s">
        <v>14</v>
      </c>
      <c r="E273" s="11" t="s">
        <v>181</v>
      </c>
    </row>
    <row r="274" spans="1:8">
      <c r="A274" s="9" t="s">
        <v>174</v>
      </c>
      <c r="B274" s="10" t="s">
        <v>5</v>
      </c>
      <c r="C274" s="9" t="s">
        <v>167</v>
      </c>
      <c r="D274" s="8" t="s">
        <v>3</v>
      </c>
      <c r="E274" s="7" t="s">
        <v>166</v>
      </c>
      <c r="F274" s="6">
        <v>94.79</v>
      </c>
      <c r="G274" s="5">
        <v>8</v>
      </c>
      <c r="H274" s="4">
        <f>F274*G274</f>
        <v>758.32</v>
      </c>
    </row>
    <row r="275" spans="1:8">
      <c r="A275" s="9" t="s">
        <v>174</v>
      </c>
      <c r="B275" s="10" t="s">
        <v>25</v>
      </c>
      <c r="C275" s="9" t="s">
        <v>180</v>
      </c>
      <c r="D275" s="8" t="s">
        <v>3</v>
      </c>
      <c r="E275" s="7" t="s">
        <v>179</v>
      </c>
      <c r="F275" s="6">
        <v>123.55</v>
      </c>
      <c r="G275" s="5">
        <v>3</v>
      </c>
      <c r="H275" s="4">
        <f>F275*G275</f>
        <v>370.65</v>
      </c>
    </row>
    <row r="276" spans="1:8">
      <c r="A276" s="9" t="s">
        <v>174</v>
      </c>
      <c r="B276" s="10" t="s">
        <v>47</v>
      </c>
      <c r="C276" s="9" t="s">
        <v>178</v>
      </c>
      <c r="D276" s="8" t="s">
        <v>3</v>
      </c>
      <c r="E276" s="7" t="s">
        <v>177</v>
      </c>
      <c r="F276" s="6">
        <v>274.75</v>
      </c>
      <c r="G276" s="5">
        <v>2</v>
      </c>
      <c r="H276" s="4">
        <f>F276*G276</f>
        <v>549.5</v>
      </c>
    </row>
    <row r="277" spans="1:8">
      <c r="A277" s="9" t="s">
        <v>174</v>
      </c>
      <c r="B277" s="10" t="s">
        <v>44</v>
      </c>
      <c r="C277" s="9" t="s">
        <v>176</v>
      </c>
      <c r="D277" s="8" t="s">
        <v>3</v>
      </c>
      <c r="E277" s="7" t="s">
        <v>175</v>
      </c>
      <c r="F277" s="6">
        <v>627.11</v>
      </c>
      <c r="G277" s="5">
        <v>1</v>
      </c>
      <c r="H277" s="4">
        <f>F277*G277</f>
        <v>627.11</v>
      </c>
    </row>
    <row r="278" spans="1:8">
      <c r="A278" s="9" t="s">
        <v>174</v>
      </c>
      <c r="B278" s="10" t="s">
        <v>41</v>
      </c>
      <c r="C278" s="9" t="s">
        <v>173</v>
      </c>
      <c r="D278" s="8" t="s">
        <v>3</v>
      </c>
      <c r="E278" s="7" t="s">
        <v>172</v>
      </c>
      <c r="F278" s="6">
        <v>485.79</v>
      </c>
      <c r="G278" s="5">
        <v>1</v>
      </c>
      <c r="H278" s="4">
        <f>F278*G278</f>
        <v>485.79</v>
      </c>
    </row>
    <row r="279" spans="1:8">
      <c r="E279" s="3" t="s">
        <v>171</v>
      </c>
      <c r="H279" s="2">
        <f>SUM(H274:H278)</f>
        <v>2791.37</v>
      </c>
    </row>
    <row r="281" spans="1:8">
      <c r="C281" s="11" t="s">
        <v>15</v>
      </c>
      <c r="D281" s="11" t="s">
        <v>14</v>
      </c>
      <c r="E281" s="11" t="s">
        <v>13</v>
      </c>
    </row>
    <row r="282" spans="1:8">
      <c r="C282" s="11" t="s">
        <v>12</v>
      </c>
      <c r="D282" s="11" t="s">
        <v>11</v>
      </c>
      <c r="E282" s="11" t="s">
        <v>10</v>
      </c>
    </row>
    <row r="283" spans="1:8">
      <c r="C283" s="11" t="s">
        <v>9</v>
      </c>
      <c r="D283" s="11" t="s">
        <v>68</v>
      </c>
      <c r="E283" s="11" t="s">
        <v>118</v>
      </c>
    </row>
    <row r="284" spans="1:8">
      <c r="C284" s="11" t="s">
        <v>69</v>
      </c>
      <c r="D284" s="11" t="s">
        <v>14</v>
      </c>
      <c r="E284" s="11" t="s">
        <v>170</v>
      </c>
    </row>
    <row r="285" spans="1:8">
      <c r="C285" s="11" t="s">
        <v>144</v>
      </c>
      <c r="D285" s="11" t="s">
        <v>99</v>
      </c>
      <c r="E285" s="11" t="s">
        <v>143</v>
      </c>
    </row>
    <row r="286" spans="1:8">
      <c r="A286" s="9" t="s">
        <v>163</v>
      </c>
      <c r="B286" s="10" t="s">
        <v>5</v>
      </c>
      <c r="C286" s="9" t="s">
        <v>169</v>
      </c>
      <c r="D286" s="8" t="s">
        <v>3</v>
      </c>
      <c r="E286" s="7" t="s">
        <v>168</v>
      </c>
      <c r="F286" s="6">
        <v>97.74</v>
      </c>
      <c r="G286" s="5">
        <v>4</v>
      </c>
      <c r="H286" s="4">
        <f>F286*G286</f>
        <v>390.96</v>
      </c>
    </row>
    <row r="287" spans="1:8">
      <c r="A287" s="9" t="s">
        <v>163</v>
      </c>
      <c r="B287" s="10" t="s">
        <v>25</v>
      </c>
      <c r="C287" s="9" t="s">
        <v>167</v>
      </c>
      <c r="D287" s="8" t="s">
        <v>3</v>
      </c>
      <c r="E287" s="7" t="s">
        <v>166</v>
      </c>
      <c r="F287" s="6">
        <v>94.79</v>
      </c>
      <c r="G287" s="5">
        <v>4</v>
      </c>
      <c r="H287" s="4">
        <f>F287*G287</f>
        <v>379.16</v>
      </c>
    </row>
    <row r="288" spans="1:8">
      <c r="A288" s="9" t="s">
        <v>163</v>
      </c>
      <c r="B288" s="10" t="s">
        <v>47</v>
      </c>
      <c r="C288" s="9" t="s">
        <v>165</v>
      </c>
      <c r="D288" s="8" t="s">
        <v>3</v>
      </c>
      <c r="E288" s="7" t="s">
        <v>164</v>
      </c>
      <c r="F288" s="6">
        <v>716.3</v>
      </c>
      <c r="G288" s="5">
        <v>3</v>
      </c>
      <c r="H288" s="4">
        <f>F288*G288</f>
        <v>2148.8999999999996</v>
      </c>
    </row>
    <row r="289" spans="1:8">
      <c r="A289" s="9" t="s">
        <v>163</v>
      </c>
      <c r="B289" s="10" t="s">
        <v>44</v>
      </c>
      <c r="C289" s="9" t="s">
        <v>162</v>
      </c>
      <c r="D289" s="8" t="s">
        <v>3</v>
      </c>
      <c r="E289" s="7" t="s">
        <v>161</v>
      </c>
      <c r="F289" s="6">
        <v>55.34</v>
      </c>
      <c r="G289" s="5">
        <v>1</v>
      </c>
      <c r="H289" s="4">
        <f>F289*G289</f>
        <v>55.34</v>
      </c>
    </row>
    <row r="290" spans="1:8">
      <c r="E290" s="3" t="s">
        <v>160</v>
      </c>
      <c r="H290" s="2">
        <f>SUM(H286:H289)</f>
        <v>2974.3599999999997</v>
      </c>
    </row>
    <row r="292" spans="1:8">
      <c r="C292" s="11" t="s">
        <v>15</v>
      </c>
      <c r="D292" s="11" t="s">
        <v>14</v>
      </c>
      <c r="E292" s="11" t="s">
        <v>13</v>
      </c>
    </row>
    <row r="293" spans="1:8">
      <c r="C293" s="11" t="s">
        <v>12</v>
      </c>
      <c r="D293" s="11" t="s">
        <v>11</v>
      </c>
      <c r="E293" s="11" t="s">
        <v>10</v>
      </c>
    </row>
    <row r="294" spans="1:8">
      <c r="C294" s="11" t="s">
        <v>9</v>
      </c>
      <c r="D294" s="11" t="s">
        <v>68</v>
      </c>
      <c r="E294" s="11" t="s">
        <v>118</v>
      </c>
    </row>
    <row r="295" spans="1:8">
      <c r="C295" s="11" t="s">
        <v>69</v>
      </c>
      <c r="D295" s="11" t="s">
        <v>99</v>
      </c>
      <c r="E295" s="11" t="s">
        <v>145</v>
      </c>
    </row>
    <row r="296" spans="1:8">
      <c r="C296" s="11" t="s">
        <v>144</v>
      </c>
      <c r="D296" s="11" t="s">
        <v>14</v>
      </c>
      <c r="E296" s="11" t="s">
        <v>159</v>
      </c>
    </row>
    <row r="297" spans="1:8">
      <c r="A297" s="9" t="s">
        <v>149</v>
      </c>
      <c r="B297" s="10" t="s">
        <v>5</v>
      </c>
      <c r="C297" s="9" t="s">
        <v>158</v>
      </c>
      <c r="D297" s="8" t="s">
        <v>3</v>
      </c>
      <c r="E297" s="7" t="s">
        <v>157</v>
      </c>
      <c r="F297" s="6">
        <v>1050.2</v>
      </c>
      <c r="G297" s="5">
        <v>3</v>
      </c>
      <c r="H297" s="4">
        <f t="shared" ref="H297:H302" si="10">F297*G297</f>
        <v>3150.6000000000004</v>
      </c>
    </row>
    <row r="298" spans="1:8">
      <c r="A298" s="9" t="s">
        <v>149</v>
      </c>
      <c r="B298" s="10" t="s">
        <v>25</v>
      </c>
      <c r="C298" s="9" t="s">
        <v>156</v>
      </c>
      <c r="D298" s="8" t="s">
        <v>3</v>
      </c>
      <c r="E298" s="7" t="s">
        <v>155</v>
      </c>
      <c r="F298" s="6">
        <v>299.14999999999998</v>
      </c>
      <c r="G298" s="5">
        <v>3</v>
      </c>
      <c r="H298" s="4">
        <f t="shared" si="10"/>
        <v>897.44999999999993</v>
      </c>
    </row>
    <row r="299" spans="1:8">
      <c r="A299" s="9" t="s">
        <v>149</v>
      </c>
      <c r="B299" s="10" t="s">
        <v>47</v>
      </c>
      <c r="C299" s="9" t="s">
        <v>154</v>
      </c>
      <c r="D299" s="8" t="s">
        <v>3</v>
      </c>
      <c r="E299" s="7" t="s">
        <v>153</v>
      </c>
      <c r="F299" s="6">
        <v>87.02</v>
      </c>
      <c r="G299" s="5">
        <v>1</v>
      </c>
      <c r="H299" s="4">
        <f t="shared" si="10"/>
        <v>87.02</v>
      </c>
    </row>
    <row r="300" spans="1:8">
      <c r="A300" s="9" t="s">
        <v>149</v>
      </c>
      <c r="B300" s="10" t="s">
        <v>44</v>
      </c>
      <c r="C300" s="9" t="s">
        <v>152</v>
      </c>
      <c r="D300" s="8" t="s">
        <v>3</v>
      </c>
      <c r="E300" s="7" t="s">
        <v>151</v>
      </c>
      <c r="F300" s="6">
        <v>49.42</v>
      </c>
      <c r="G300" s="5">
        <v>1</v>
      </c>
      <c r="H300" s="4">
        <f t="shared" si="10"/>
        <v>49.42</v>
      </c>
    </row>
    <row r="301" spans="1:8">
      <c r="A301" s="9" t="s">
        <v>149</v>
      </c>
      <c r="B301" s="10" t="s">
        <v>41</v>
      </c>
      <c r="C301" s="9" t="s">
        <v>150</v>
      </c>
      <c r="D301" s="8" t="s">
        <v>3</v>
      </c>
      <c r="E301" s="7" t="s">
        <v>120</v>
      </c>
      <c r="F301" s="6">
        <v>761.42</v>
      </c>
      <c r="G301" s="5">
        <v>1</v>
      </c>
      <c r="H301" s="4">
        <f t="shared" si="10"/>
        <v>761.42</v>
      </c>
    </row>
    <row r="302" spans="1:8">
      <c r="A302" s="9" t="s">
        <v>149</v>
      </c>
      <c r="B302" s="10" t="s">
        <v>38</v>
      </c>
      <c r="C302" s="9" t="s">
        <v>148</v>
      </c>
      <c r="D302" s="8" t="s">
        <v>3</v>
      </c>
      <c r="E302" s="7" t="s">
        <v>147</v>
      </c>
      <c r="F302" s="6">
        <v>457.59</v>
      </c>
      <c r="G302" s="5">
        <v>3</v>
      </c>
      <c r="H302" s="4">
        <f t="shared" si="10"/>
        <v>1372.77</v>
      </c>
    </row>
    <row r="303" spans="1:8">
      <c r="E303" s="3" t="s">
        <v>146</v>
      </c>
      <c r="H303" s="2">
        <f>SUM(H297:H302)</f>
        <v>6318.68</v>
      </c>
    </row>
    <row r="305" spans="1:8">
      <c r="C305" s="11" t="s">
        <v>15</v>
      </c>
      <c r="D305" s="11" t="s">
        <v>14</v>
      </c>
      <c r="E305" s="11" t="s">
        <v>13</v>
      </c>
    </row>
    <row r="306" spans="1:8">
      <c r="C306" s="11" t="s">
        <v>12</v>
      </c>
      <c r="D306" s="11" t="s">
        <v>11</v>
      </c>
      <c r="E306" s="11" t="s">
        <v>10</v>
      </c>
    </row>
    <row r="307" spans="1:8">
      <c r="C307" s="11" t="s">
        <v>9</v>
      </c>
      <c r="D307" s="11" t="s">
        <v>68</v>
      </c>
      <c r="E307" s="11" t="s">
        <v>118</v>
      </c>
    </row>
    <row r="308" spans="1:8">
      <c r="C308" s="11" t="s">
        <v>69</v>
      </c>
      <c r="D308" s="11" t="s">
        <v>99</v>
      </c>
      <c r="E308" s="11" t="s">
        <v>145</v>
      </c>
    </row>
    <row r="309" spans="1:8">
      <c r="C309" s="11" t="s">
        <v>144</v>
      </c>
      <c r="D309" s="11" t="s">
        <v>99</v>
      </c>
      <c r="E309" s="11" t="s">
        <v>143</v>
      </c>
    </row>
    <row r="310" spans="1:8">
      <c r="A310" s="9" t="s">
        <v>122</v>
      </c>
      <c r="B310" s="10" t="s">
        <v>5</v>
      </c>
      <c r="C310" s="9" t="s">
        <v>142</v>
      </c>
      <c r="D310" s="8" t="s">
        <v>3</v>
      </c>
      <c r="E310" s="7" t="s">
        <v>141</v>
      </c>
      <c r="F310" s="6">
        <v>363.82</v>
      </c>
      <c r="G310" s="5">
        <v>2</v>
      </c>
      <c r="H310" s="4">
        <f t="shared" ref="H310:H320" si="11">F310*G310</f>
        <v>727.64</v>
      </c>
    </row>
    <row r="311" spans="1:8">
      <c r="A311" s="9" t="s">
        <v>122</v>
      </c>
      <c r="B311" s="10" t="s">
        <v>25</v>
      </c>
      <c r="C311" s="9" t="s">
        <v>140</v>
      </c>
      <c r="D311" s="8" t="s">
        <v>3</v>
      </c>
      <c r="E311" s="7" t="s">
        <v>139</v>
      </c>
      <c r="F311" s="6">
        <v>271.95</v>
      </c>
      <c r="G311" s="5">
        <v>2</v>
      </c>
      <c r="H311" s="4">
        <f t="shared" si="11"/>
        <v>543.9</v>
      </c>
    </row>
    <row r="312" spans="1:8">
      <c r="A312" s="9" t="s">
        <v>122</v>
      </c>
      <c r="B312" s="10" t="s">
        <v>47</v>
      </c>
      <c r="C312" s="9" t="s">
        <v>138</v>
      </c>
      <c r="D312" s="8" t="s">
        <v>3</v>
      </c>
      <c r="E312" s="7" t="s">
        <v>137</v>
      </c>
      <c r="F312" s="6">
        <v>494.6</v>
      </c>
      <c r="G312" s="5">
        <v>1</v>
      </c>
      <c r="H312" s="4">
        <f t="shared" si="11"/>
        <v>494.6</v>
      </c>
    </row>
    <row r="313" spans="1:8">
      <c r="A313" s="9" t="s">
        <v>122</v>
      </c>
      <c r="B313" s="10" t="s">
        <v>44</v>
      </c>
      <c r="C313" s="9" t="s">
        <v>136</v>
      </c>
      <c r="D313" s="8" t="s">
        <v>3</v>
      </c>
      <c r="E313" s="7" t="s">
        <v>135</v>
      </c>
      <c r="F313" s="6">
        <v>480.88</v>
      </c>
      <c r="G313" s="5">
        <v>1</v>
      </c>
      <c r="H313" s="4">
        <f t="shared" si="11"/>
        <v>480.88</v>
      </c>
    </row>
    <row r="314" spans="1:8" ht="24">
      <c r="A314" s="9" t="s">
        <v>122</v>
      </c>
      <c r="B314" s="10" t="s">
        <v>41</v>
      </c>
      <c r="C314" s="9" t="s">
        <v>134</v>
      </c>
      <c r="D314" s="8" t="s">
        <v>3</v>
      </c>
      <c r="E314" s="7" t="s">
        <v>133</v>
      </c>
      <c r="F314" s="6">
        <v>65.150000000000006</v>
      </c>
      <c r="G314" s="5">
        <v>1</v>
      </c>
      <c r="H314" s="4">
        <f t="shared" si="11"/>
        <v>65.150000000000006</v>
      </c>
    </row>
    <row r="315" spans="1:8">
      <c r="A315" s="9" t="s">
        <v>122</v>
      </c>
      <c r="B315" s="10" t="s">
        <v>38</v>
      </c>
      <c r="C315" s="9" t="s">
        <v>132</v>
      </c>
      <c r="D315" s="8" t="s">
        <v>3</v>
      </c>
      <c r="E315" s="7" t="s">
        <v>131</v>
      </c>
      <c r="F315" s="6">
        <v>2183.89</v>
      </c>
      <c r="G315" s="5">
        <v>1</v>
      </c>
      <c r="H315" s="4">
        <f t="shared" si="11"/>
        <v>2183.89</v>
      </c>
    </row>
    <row r="316" spans="1:8" ht="24">
      <c r="A316" s="9" t="s">
        <v>122</v>
      </c>
      <c r="B316" s="10" t="s">
        <v>34</v>
      </c>
      <c r="C316" s="9" t="s">
        <v>130</v>
      </c>
      <c r="D316" s="8" t="s">
        <v>3</v>
      </c>
      <c r="E316" s="7" t="s">
        <v>129</v>
      </c>
      <c r="F316" s="6">
        <v>75.08</v>
      </c>
      <c r="G316" s="5">
        <v>6</v>
      </c>
      <c r="H316" s="4">
        <f t="shared" si="11"/>
        <v>450.48</v>
      </c>
    </row>
    <row r="317" spans="1:8">
      <c r="A317" s="9" t="s">
        <v>122</v>
      </c>
      <c r="B317" s="10" t="s">
        <v>83</v>
      </c>
      <c r="C317" s="9" t="s">
        <v>128</v>
      </c>
      <c r="D317" s="8" t="s">
        <v>3</v>
      </c>
      <c r="E317" s="7" t="s">
        <v>127</v>
      </c>
      <c r="F317" s="6">
        <v>234.23</v>
      </c>
      <c r="G317" s="5">
        <v>1</v>
      </c>
      <c r="H317" s="4">
        <f t="shared" si="11"/>
        <v>234.23</v>
      </c>
    </row>
    <row r="318" spans="1:8" ht="24">
      <c r="A318" s="9" t="s">
        <v>122</v>
      </c>
      <c r="B318" s="10" t="s">
        <v>80</v>
      </c>
      <c r="C318" s="9" t="s">
        <v>126</v>
      </c>
      <c r="D318" s="8" t="s">
        <v>3</v>
      </c>
      <c r="E318" s="7" t="s">
        <v>125</v>
      </c>
      <c r="F318" s="6">
        <v>65.98</v>
      </c>
      <c r="G318" s="5">
        <v>1</v>
      </c>
      <c r="H318" s="4">
        <f t="shared" si="11"/>
        <v>65.98</v>
      </c>
    </row>
    <row r="319" spans="1:8" ht="24">
      <c r="A319" s="9" t="s">
        <v>122</v>
      </c>
      <c r="B319" s="10" t="s">
        <v>77</v>
      </c>
      <c r="C319" s="9" t="s">
        <v>124</v>
      </c>
      <c r="D319" s="8" t="s">
        <v>3</v>
      </c>
      <c r="E319" s="7" t="s">
        <v>123</v>
      </c>
      <c r="F319" s="6">
        <v>82.53</v>
      </c>
      <c r="G319" s="5">
        <v>1</v>
      </c>
      <c r="H319" s="4">
        <f t="shared" si="11"/>
        <v>82.53</v>
      </c>
    </row>
    <row r="320" spans="1:8">
      <c r="A320" s="9" t="s">
        <v>122</v>
      </c>
      <c r="B320" s="10" t="s">
        <v>73</v>
      </c>
      <c r="C320" s="9" t="s">
        <v>121</v>
      </c>
      <c r="D320" s="8" t="s">
        <v>3</v>
      </c>
      <c r="E320" s="7" t="s">
        <v>120</v>
      </c>
      <c r="F320" s="6">
        <v>800.39</v>
      </c>
      <c r="G320" s="5">
        <v>1</v>
      </c>
      <c r="H320" s="4">
        <f t="shared" si="11"/>
        <v>800.39</v>
      </c>
    </row>
    <row r="321" spans="1:8">
      <c r="E321" s="3" t="s">
        <v>119</v>
      </c>
      <c r="H321" s="2">
        <f>SUM(H310:H320)</f>
        <v>6129.6699999999983</v>
      </c>
    </row>
    <row r="323" spans="1:8">
      <c r="C323" s="11" t="s">
        <v>15</v>
      </c>
      <c r="D323" s="11" t="s">
        <v>14</v>
      </c>
      <c r="E323" s="11" t="s">
        <v>13</v>
      </c>
    </row>
    <row r="324" spans="1:8">
      <c r="C324" s="11" t="s">
        <v>12</v>
      </c>
      <c r="D324" s="11" t="s">
        <v>11</v>
      </c>
      <c r="E324" s="11" t="s">
        <v>10</v>
      </c>
    </row>
    <row r="325" spans="1:8">
      <c r="C325" s="11" t="s">
        <v>9</v>
      </c>
      <c r="D325" s="11" t="s">
        <v>68</v>
      </c>
      <c r="E325" s="11" t="s">
        <v>118</v>
      </c>
    </row>
    <row r="326" spans="1:8">
      <c r="C326" s="11" t="s">
        <v>69</v>
      </c>
      <c r="D326" s="11" t="s">
        <v>68</v>
      </c>
      <c r="E326" s="11" t="s">
        <v>117</v>
      </c>
    </row>
    <row r="327" spans="1:8">
      <c r="A327" s="9" t="s">
        <v>108</v>
      </c>
      <c r="B327" s="10" t="s">
        <v>5</v>
      </c>
      <c r="C327" s="9" t="s">
        <v>116</v>
      </c>
      <c r="D327" s="8" t="s">
        <v>56</v>
      </c>
      <c r="E327" s="7" t="s">
        <v>115</v>
      </c>
      <c r="F327" s="6">
        <v>5.67</v>
      </c>
      <c r="G327" s="5">
        <v>50</v>
      </c>
      <c r="H327" s="4">
        <f t="shared" ref="H327:H334" si="12">F327*G327</f>
        <v>283.5</v>
      </c>
    </row>
    <row r="328" spans="1:8">
      <c r="A328" s="9" t="s">
        <v>108</v>
      </c>
      <c r="B328" s="10" t="s">
        <v>25</v>
      </c>
      <c r="C328" s="9" t="s">
        <v>114</v>
      </c>
      <c r="D328" s="8" t="s">
        <v>56</v>
      </c>
      <c r="E328" s="7" t="s">
        <v>113</v>
      </c>
      <c r="F328" s="6">
        <v>6.62</v>
      </c>
      <c r="G328" s="5">
        <v>45</v>
      </c>
      <c r="H328" s="4">
        <f t="shared" si="12"/>
        <v>297.89999999999998</v>
      </c>
    </row>
    <row r="329" spans="1:8">
      <c r="A329" s="9" t="s">
        <v>108</v>
      </c>
      <c r="B329" s="10" t="s">
        <v>47</v>
      </c>
      <c r="C329" s="9" t="s">
        <v>112</v>
      </c>
      <c r="D329" s="8" t="s">
        <v>56</v>
      </c>
      <c r="E329" s="7" t="s">
        <v>111</v>
      </c>
      <c r="F329" s="6">
        <v>6.62</v>
      </c>
      <c r="G329" s="5">
        <v>45</v>
      </c>
      <c r="H329" s="4">
        <f t="shared" si="12"/>
        <v>297.89999999999998</v>
      </c>
    </row>
    <row r="330" spans="1:8">
      <c r="A330" s="9" t="s">
        <v>108</v>
      </c>
      <c r="B330" s="10" t="s">
        <v>44</v>
      </c>
      <c r="C330" s="9" t="s">
        <v>110</v>
      </c>
      <c r="D330" s="8" t="s">
        <v>3</v>
      </c>
      <c r="E330" s="7" t="s">
        <v>109</v>
      </c>
      <c r="F330" s="6">
        <v>60.34</v>
      </c>
      <c r="G330" s="5">
        <v>20</v>
      </c>
      <c r="H330" s="4">
        <f t="shared" si="12"/>
        <v>1206.8000000000002</v>
      </c>
    </row>
    <row r="331" spans="1:8" ht="24">
      <c r="A331" s="9" t="s">
        <v>108</v>
      </c>
      <c r="B331" s="10" t="s">
        <v>41</v>
      </c>
      <c r="C331" s="9" t="s">
        <v>79</v>
      </c>
      <c r="D331" s="8" t="s">
        <v>56</v>
      </c>
      <c r="E331" s="7" t="s">
        <v>78</v>
      </c>
      <c r="F331" s="6">
        <v>8.93</v>
      </c>
      <c r="G331" s="5">
        <v>50</v>
      </c>
      <c r="H331" s="4">
        <f t="shared" si="12"/>
        <v>446.5</v>
      </c>
    </row>
    <row r="332" spans="1:8">
      <c r="A332" s="9" t="s">
        <v>108</v>
      </c>
      <c r="B332" s="10" t="s">
        <v>38</v>
      </c>
      <c r="C332" s="9" t="s">
        <v>85</v>
      </c>
      <c r="D332" s="8" t="s">
        <v>3</v>
      </c>
      <c r="E332" s="7" t="s">
        <v>84</v>
      </c>
      <c r="F332" s="6">
        <v>22.39</v>
      </c>
      <c r="G332" s="5">
        <v>6</v>
      </c>
      <c r="H332" s="4">
        <f t="shared" si="12"/>
        <v>134.34</v>
      </c>
    </row>
    <row r="333" spans="1:8" ht="24">
      <c r="A333" s="9" t="s">
        <v>108</v>
      </c>
      <c r="B333" s="10" t="s">
        <v>34</v>
      </c>
      <c r="C333" s="9" t="s">
        <v>82</v>
      </c>
      <c r="D333" s="8" t="s">
        <v>56</v>
      </c>
      <c r="E333" s="7" t="s">
        <v>81</v>
      </c>
      <c r="F333" s="6">
        <v>2.56</v>
      </c>
      <c r="G333" s="5">
        <v>90</v>
      </c>
      <c r="H333" s="4">
        <f t="shared" si="12"/>
        <v>230.4</v>
      </c>
    </row>
    <row r="334" spans="1:8">
      <c r="A334" s="9" t="s">
        <v>108</v>
      </c>
      <c r="B334" s="10" t="s">
        <v>83</v>
      </c>
      <c r="C334" s="9" t="s">
        <v>107</v>
      </c>
      <c r="D334" s="8" t="s">
        <v>3</v>
      </c>
      <c r="E334" s="7" t="s">
        <v>106</v>
      </c>
      <c r="F334" s="6">
        <v>19775.57</v>
      </c>
      <c r="G334" s="5">
        <v>0.5</v>
      </c>
      <c r="H334" s="4">
        <f t="shared" si="12"/>
        <v>9887.7849999999999</v>
      </c>
    </row>
    <row r="335" spans="1:8">
      <c r="E335" s="3" t="s">
        <v>105</v>
      </c>
      <c r="H335" s="2">
        <f>SUM(H327:H334)</f>
        <v>12785.125</v>
      </c>
    </row>
    <row r="337" spans="1:8">
      <c r="C337" s="11" t="s">
        <v>15</v>
      </c>
      <c r="D337" s="11" t="s">
        <v>14</v>
      </c>
      <c r="E337" s="11" t="s">
        <v>13</v>
      </c>
    </row>
    <row r="338" spans="1:8">
      <c r="C338" s="11" t="s">
        <v>12</v>
      </c>
      <c r="D338" s="11" t="s">
        <v>11</v>
      </c>
      <c r="E338" s="11" t="s">
        <v>10</v>
      </c>
    </row>
    <row r="339" spans="1:8">
      <c r="C339" s="11" t="s">
        <v>9</v>
      </c>
      <c r="D339" s="11" t="s">
        <v>71</v>
      </c>
      <c r="E339" s="11" t="s">
        <v>70</v>
      </c>
    </row>
    <row r="340" spans="1:8">
      <c r="C340" s="11" t="s">
        <v>69</v>
      </c>
      <c r="D340" s="11" t="s">
        <v>14</v>
      </c>
      <c r="E340" s="11" t="s">
        <v>104</v>
      </c>
    </row>
    <row r="341" spans="1:8">
      <c r="A341" s="9" t="s">
        <v>101</v>
      </c>
      <c r="B341" s="10" t="s">
        <v>5</v>
      </c>
      <c r="C341" s="9" t="s">
        <v>103</v>
      </c>
      <c r="D341" s="8" t="s">
        <v>3</v>
      </c>
      <c r="E341" s="7" t="s">
        <v>102</v>
      </c>
      <c r="F341" s="6">
        <v>2856.67</v>
      </c>
      <c r="G341" s="5">
        <v>1</v>
      </c>
      <c r="H341" s="4">
        <f t="shared" ref="H341:H348" si="13">F341*G341</f>
        <v>2856.67</v>
      </c>
    </row>
    <row r="342" spans="1:8">
      <c r="A342" s="9" t="s">
        <v>101</v>
      </c>
      <c r="B342" s="10" t="s">
        <v>25</v>
      </c>
      <c r="C342" s="9" t="s">
        <v>95</v>
      </c>
      <c r="D342" s="8" t="s">
        <v>56</v>
      </c>
      <c r="E342" s="7" t="s">
        <v>94</v>
      </c>
      <c r="F342" s="6">
        <v>2.78</v>
      </c>
      <c r="G342" s="5">
        <v>252</v>
      </c>
      <c r="H342" s="4">
        <f t="shared" si="13"/>
        <v>700.56</v>
      </c>
    </row>
    <row r="343" spans="1:8">
      <c r="A343" s="9" t="s">
        <v>101</v>
      </c>
      <c r="B343" s="10" t="s">
        <v>47</v>
      </c>
      <c r="C343" s="9" t="s">
        <v>91</v>
      </c>
      <c r="D343" s="8" t="s">
        <v>56</v>
      </c>
      <c r="E343" s="7" t="s">
        <v>90</v>
      </c>
      <c r="F343" s="6">
        <v>2.02</v>
      </c>
      <c r="G343" s="5">
        <v>84</v>
      </c>
      <c r="H343" s="4">
        <f t="shared" si="13"/>
        <v>169.68</v>
      </c>
    </row>
    <row r="344" spans="1:8">
      <c r="A344" s="9" t="s">
        <v>101</v>
      </c>
      <c r="B344" s="10" t="s">
        <v>44</v>
      </c>
      <c r="C344" s="9" t="s">
        <v>87</v>
      </c>
      <c r="D344" s="8" t="s">
        <v>56</v>
      </c>
      <c r="E344" s="7" t="s">
        <v>86</v>
      </c>
      <c r="F344" s="6">
        <v>1.63</v>
      </c>
      <c r="G344" s="5">
        <v>67</v>
      </c>
      <c r="H344" s="4">
        <f t="shared" si="13"/>
        <v>109.21</v>
      </c>
    </row>
    <row r="345" spans="1:8" ht="24">
      <c r="A345" s="9" t="s">
        <v>101</v>
      </c>
      <c r="B345" s="10" t="s">
        <v>41</v>
      </c>
      <c r="C345" s="9" t="s">
        <v>79</v>
      </c>
      <c r="D345" s="8" t="s">
        <v>56</v>
      </c>
      <c r="E345" s="7" t="s">
        <v>78</v>
      </c>
      <c r="F345" s="6">
        <v>8.93</v>
      </c>
      <c r="G345" s="5">
        <v>120</v>
      </c>
      <c r="H345" s="4">
        <f t="shared" si="13"/>
        <v>1071.5999999999999</v>
      </c>
    </row>
    <row r="346" spans="1:8" ht="24">
      <c r="A346" s="9" t="s">
        <v>101</v>
      </c>
      <c r="B346" s="10" t="s">
        <v>38</v>
      </c>
      <c r="C346" s="9" t="s">
        <v>82</v>
      </c>
      <c r="D346" s="8" t="s">
        <v>56</v>
      </c>
      <c r="E346" s="7" t="s">
        <v>81</v>
      </c>
      <c r="F346" s="6">
        <v>2.56</v>
      </c>
      <c r="G346" s="5">
        <v>80</v>
      </c>
      <c r="H346" s="4">
        <f t="shared" si="13"/>
        <v>204.8</v>
      </c>
    </row>
    <row r="347" spans="1:8">
      <c r="A347" s="9" t="s">
        <v>101</v>
      </c>
      <c r="B347" s="10" t="s">
        <v>34</v>
      </c>
      <c r="C347" s="9" t="s">
        <v>85</v>
      </c>
      <c r="D347" s="8" t="s">
        <v>3</v>
      </c>
      <c r="E347" s="7" t="s">
        <v>84</v>
      </c>
      <c r="F347" s="6">
        <v>22.39</v>
      </c>
      <c r="G347" s="5">
        <v>15</v>
      </c>
      <c r="H347" s="4">
        <f t="shared" si="13"/>
        <v>335.85</v>
      </c>
    </row>
    <row r="348" spans="1:8">
      <c r="A348" s="9" t="s">
        <v>101</v>
      </c>
      <c r="B348" s="10" t="s">
        <v>83</v>
      </c>
      <c r="C348" s="9" t="s">
        <v>76</v>
      </c>
      <c r="D348" s="8" t="s">
        <v>56</v>
      </c>
      <c r="E348" s="7" t="s">
        <v>75</v>
      </c>
      <c r="F348" s="6">
        <v>38.01</v>
      </c>
      <c r="G348" s="5">
        <v>112.5</v>
      </c>
      <c r="H348" s="4">
        <f t="shared" si="13"/>
        <v>4276.125</v>
      </c>
    </row>
    <row r="349" spans="1:8">
      <c r="E349" s="3" t="s">
        <v>100</v>
      </c>
      <c r="H349" s="2">
        <f>SUM(H341:H348)</f>
        <v>9724.494999999999</v>
      </c>
    </row>
    <row r="351" spans="1:8">
      <c r="C351" s="11" t="s">
        <v>15</v>
      </c>
      <c r="D351" s="11" t="s">
        <v>14</v>
      </c>
      <c r="E351" s="11" t="s">
        <v>13</v>
      </c>
    </row>
    <row r="352" spans="1:8">
      <c r="C352" s="11" t="s">
        <v>12</v>
      </c>
      <c r="D352" s="11" t="s">
        <v>11</v>
      </c>
      <c r="E352" s="11" t="s">
        <v>10</v>
      </c>
    </row>
    <row r="353" spans="1:8">
      <c r="C353" s="11" t="s">
        <v>9</v>
      </c>
      <c r="D353" s="11" t="s">
        <v>71</v>
      </c>
      <c r="E353" s="11" t="s">
        <v>70</v>
      </c>
    </row>
    <row r="354" spans="1:8">
      <c r="C354" s="11" t="s">
        <v>69</v>
      </c>
      <c r="D354" s="11" t="s">
        <v>99</v>
      </c>
      <c r="E354" s="11" t="s">
        <v>98</v>
      </c>
    </row>
    <row r="355" spans="1:8">
      <c r="A355" s="9" t="s">
        <v>74</v>
      </c>
      <c r="B355" s="10" t="s">
        <v>5</v>
      </c>
      <c r="C355" s="9" t="s">
        <v>97</v>
      </c>
      <c r="D355" s="8" t="s">
        <v>3</v>
      </c>
      <c r="E355" s="7" t="s">
        <v>96</v>
      </c>
      <c r="F355" s="6">
        <v>10693.59</v>
      </c>
      <c r="G355" s="5">
        <v>1</v>
      </c>
      <c r="H355" s="4">
        <f t="shared" ref="H355:H365" si="14">F355*G355</f>
        <v>10693.59</v>
      </c>
    </row>
    <row r="356" spans="1:8">
      <c r="A356" s="9" t="s">
        <v>74</v>
      </c>
      <c r="B356" s="10" t="s">
        <v>25</v>
      </c>
      <c r="C356" s="9" t="s">
        <v>95</v>
      </c>
      <c r="D356" s="8" t="s">
        <v>56</v>
      </c>
      <c r="E356" s="7" t="s">
        <v>94</v>
      </c>
      <c r="F356" s="6">
        <v>2.78</v>
      </c>
      <c r="G356" s="5">
        <v>240</v>
      </c>
      <c r="H356" s="4">
        <f t="shared" si="14"/>
        <v>667.19999999999993</v>
      </c>
    </row>
    <row r="357" spans="1:8">
      <c r="A357" s="9" t="s">
        <v>74</v>
      </c>
      <c r="B357" s="10" t="s">
        <v>47</v>
      </c>
      <c r="C357" s="9" t="s">
        <v>93</v>
      </c>
      <c r="D357" s="8" t="s">
        <v>56</v>
      </c>
      <c r="E357" s="7" t="s">
        <v>92</v>
      </c>
      <c r="F357" s="6">
        <v>6.07</v>
      </c>
      <c r="G357" s="5">
        <v>216</v>
      </c>
      <c r="H357" s="4">
        <f t="shared" si="14"/>
        <v>1311.1200000000001</v>
      </c>
    </row>
    <row r="358" spans="1:8">
      <c r="A358" s="9" t="s">
        <v>74</v>
      </c>
      <c r="B358" s="10" t="s">
        <v>44</v>
      </c>
      <c r="C358" s="9" t="s">
        <v>91</v>
      </c>
      <c r="D358" s="8" t="s">
        <v>56</v>
      </c>
      <c r="E358" s="7" t="s">
        <v>90</v>
      </c>
      <c r="F358" s="6">
        <v>2.02</v>
      </c>
      <c r="G358" s="5">
        <v>72</v>
      </c>
      <c r="H358" s="4">
        <f t="shared" si="14"/>
        <v>145.44</v>
      </c>
    </row>
    <row r="359" spans="1:8">
      <c r="A359" s="9" t="s">
        <v>74</v>
      </c>
      <c r="B359" s="10" t="s">
        <v>41</v>
      </c>
      <c r="C359" s="9" t="s">
        <v>89</v>
      </c>
      <c r="D359" s="8" t="s">
        <v>56</v>
      </c>
      <c r="E359" s="7" t="s">
        <v>88</v>
      </c>
      <c r="F359" s="6">
        <v>8.2200000000000006</v>
      </c>
      <c r="G359" s="5">
        <v>60</v>
      </c>
      <c r="H359" s="4">
        <f t="shared" si="14"/>
        <v>493.20000000000005</v>
      </c>
    </row>
    <row r="360" spans="1:8">
      <c r="A360" s="9" t="s">
        <v>74</v>
      </c>
      <c r="B360" s="10" t="s">
        <v>38</v>
      </c>
      <c r="C360" s="9" t="s">
        <v>87</v>
      </c>
      <c r="D360" s="8" t="s">
        <v>56</v>
      </c>
      <c r="E360" s="7" t="s">
        <v>86</v>
      </c>
      <c r="F360" s="6">
        <v>1.63</v>
      </c>
      <c r="G360" s="5">
        <v>42</v>
      </c>
      <c r="H360" s="4">
        <f t="shared" si="14"/>
        <v>68.459999999999994</v>
      </c>
    </row>
    <row r="361" spans="1:8">
      <c r="A361" s="9" t="s">
        <v>74</v>
      </c>
      <c r="B361" s="10" t="s">
        <v>34</v>
      </c>
      <c r="C361" s="9" t="s">
        <v>85</v>
      </c>
      <c r="D361" s="8" t="s">
        <v>3</v>
      </c>
      <c r="E361" s="7" t="s">
        <v>84</v>
      </c>
      <c r="F361" s="6">
        <v>22.39</v>
      </c>
      <c r="G361" s="5">
        <v>15</v>
      </c>
      <c r="H361" s="4">
        <f t="shared" si="14"/>
        <v>335.85</v>
      </c>
    </row>
    <row r="362" spans="1:8" ht="24">
      <c r="A362" s="9" t="s">
        <v>74</v>
      </c>
      <c r="B362" s="10" t="s">
        <v>83</v>
      </c>
      <c r="C362" s="9" t="s">
        <v>82</v>
      </c>
      <c r="D362" s="8" t="s">
        <v>56</v>
      </c>
      <c r="E362" s="7" t="s">
        <v>81</v>
      </c>
      <c r="F362" s="6">
        <v>2.56</v>
      </c>
      <c r="G362" s="5">
        <v>90</v>
      </c>
      <c r="H362" s="4">
        <f t="shared" si="14"/>
        <v>230.4</v>
      </c>
    </row>
    <row r="363" spans="1:8" ht="24">
      <c r="A363" s="9" t="s">
        <v>74</v>
      </c>
      <c r="B363" s="10" t="s">
        <v>80</v>
      </c>
      <c r="C363" s="9" t="s">
        <v>79</v>
      </c>
      <c r="D363" s="8" t="s">
        <v>56</v>
      </c>
      <c r="E363" s="7" t="s">
        <v>78</v>
      </c>
      <c r="F363" s="6">
        <v>8.93</v>
      </c>
      <c r="G363" s="5">
        <v>240</v>
      </c>
      <c r="H363" s="4">
        <f t="shared" si="14"/>
        <v>2143.1999999999998</v>
      </c>
    </row>
    <row r="364" spans="1:8">
      <c r="A364" s="9" t="s">
        <v>74</v>
      </c>
      <c r="B364" s="10" t="s">
        <v>77</v>
      </c>
      <c r="C364" s="9" t="s">
        <v>76</v>
      </c>
      <c r="D364" s="8" t="s">
        <v>56</v>
      </c>
      <c r="E364" s="7" t="s">
        <v>75</v>
      </c>
      <c r="F364" s="6">
        <v>38.01</v>
      </c>
      <c r="G364" s="5">
        <v>18</v>
      </c>
      <c r="H364" s="4">
        <f t="shared" si="14"/>
        <v>684.18</v>
      </c>
    </row>
    <row r="365" spans="1:8">
      <c r="A365" s="9" t="s">
        <v>74</v>
      </c>
      <c r="B365" s="10" t="s">
        <v>73</v>
      </c>
      <c r="C365" s="9" t="s">
        <v>57</v>
      </c>
      <c r="D365" s="8" t="s">
        <v>56</v>
      </c>
      <c r="E365" s="7" t="s">
        <v>55</v>
      </c>
      <c r="F365" s="6">
        <v>35.4</v>
      </c>
      <c r="G365" s="5">
        <v>33</v>
      </c>
      <c r="H365" s="4">
        <f t="shared" si="14"/>
        <v>1168.2</v>
      </c>
    </row>
    <row r="366" spans="1:8">
      <c r="E366" s="3" t="s">
        <v>72</v>
      </c>
      <c r="H366" s="2">
        <f>SUM(H355:H365)</f>
        <v>17940.840000000004</v>
      </c>
    </row>
    <row r="368" spans="1:8">
      <c r="C368" s="11" t="s">
        <v>15</v>
      </c>
      <c r="D368" s="11" t="s">
        <v>14</v>
      </c>
      <c r="E368" s="11" t="s">
        <v>13</v>
      </c>
    </row>
    <row r="369" spans="1:8">
      <c r="C369" s="11" t="s">
        <v>12</v>
      </c>
      <c r="D369" s="11" t="s">
        <v>11</v>
      </c>
      <c r="E369" s="11" t="s">
        <v>10</v>
      </c>
    </row>
    <row r="370" spans="1:8">
      <c r="C370" s="11" t="s">
        <v>9</v>
      </c>
      <c r="D370" s="11" t="s">
        <v>71</v>
      </c>
      <c r="E370" s="11" t="s">
        <v>70</v>
      </c>
    </row>
    <row r="371" spans="1:8">
      <c r="C371" s="11" t="s">
        <v>69</v>
      </c>
      <c r="D371" s="11" t="s">
        <v>68</v>
      </c>
      <c r="E371" s="11" t="s">
        <v>67</v>
      </c>
    </row>
    <row r="372" spans="1:8">
      <c r="A372" s="9" t="s">
        <v>58</v>
      </c>
      <c r="B372" s="10" t="s">
        <v>5</v>
      </c>
      <c r="C372" s="9" t="s">
        <v>66</v>
      </c>
      <c r="D372" s="8" t="s">
        <v>3</v>
      </c>
      <c r="E372" s="7" t="s">
        <v>65</v>
      </c>
      <c r="F372" s="6">
        <v>1376</v>
      </c>
      <c r="G372" s="5">
        <v>1</v>
      </c>
      <c r="H372" s="4">
        <f>F372*G372</f>
        <v>1376</v>
      </c>
    </row>
    <row r="373" spans="1:8">
      <c r="A373" s="9" t="s">
        <v>58</v>
      </c>
      <c r="B373" s="10" t="s">
        <v>25</v>
      </c>
      <c r="C373" s="9" t="s">
        <v>64</v>
      </c>
      <c r="D373" s="8" t="s">
        <v>3</v>
      </c>
      <c r="E373" s="7" t="s">
        <v>63</v>
      </c>
      <c r="F373" s="6">
        <v>2308.19</v>
      </c>
      <c r="G373" s="5">
        <v>1</v>
      </c>
      <c r="H373" s="4">
        <f>F373*G373</f>
        <v>2308.19</v>
      </c>
    </row>
    <row r="374" spans="1:8">
      <c r="A374" s="9" t="s">
        <v>58</v>
      </c>
      <c r="B374" s="10" t="s">
        <v>47</v>
      </c>
      <c r="C374" s="9" t="s">
        <v>62</v>
      </c>
      <c r="D374" s="8" t="s">
        <v>56</v>
      </c>
      <c r="E374" s="7" t="s">
        <v>61</v>
      </c>
      <c r="F374" s="6">
        <v>22.22</v>
      </c>
      <c r="G374" s="5">
        <v>308</v>
      </c>
      <c r="H374" s="4">
        <f>F374*G374</f>
        <v>6843.7599999999993</v>
      </c>
    </row>
    <row r="375" spans="1:8">
      <c r="A375" s="9" t="s">
        <v>58</v>
      </c>
      <c r="B375" s="10" t="s">
        <v>44</v>
      </c>
      <c r="C375" s="9" t="s">
        <v>60</v>
      </c>
      <c r="D375" s="8" t="s">
        <v>56</v>
      </c>
      <c r="E375" s="7" t="s">
        <v>59</v>
      </c>
      <c r="F375" s="6">
        <v>14.95</v>
      </c>
      <c r="G375" s="5">
        <v>77</v>
      </c>
      <c r="H375" s="4">
        <f>F375*G375</f>
        <v>1151.1499999999999</v>
      </c>
    </row>
    <row r="376" spans="1:8">
      <c r="A376" s="9" t="s">
        <v>58</v>
      </c>
      <c r="B376" s="10" t="s">
        <v>41</v>
      </c>
      <c r="C376" s="9" t="s">
        <v>57</v>
      </c>
      <c r="D376" s="8" t="s">
        <v>56</v>
      </c>
      <c r="E376" s="7" t="s">
        <v>55</v>
      </c>
      <c r="F376" s="6">
        <v>35.4</v>
      </c>
      <c r="G376" s="5">
        <v>80</v>
      </c>
      <c r="H376" s="4">
        <f>F376*G376</f>
        <v>2832</v>
      </c>
    </row>
    <row r="377" spans="1:8">
      <c r="E377" s="3" t="s">
        <v>54</v>
      </c>
      <c r="H377" s="2">
        <f>SUM(H372:H376)</f>
        <v>14511.099999999999</v>
      </c>
    </row>
    <row r="379" spans="1:8">
      <c r="C379" s="11" t="s">
        <v>15</v>
      </c>
      <c r="D379" s="11" t="s">
        <v>14</v>
      </c>
      <c r="E379" s="11" t="s">
        <v>13</v>
      </c>
    </row>
    <row r="380" spans="1:8">
      <c r="C380" s="11" t="s">
        <v>12</v>
      </c>
      <c r="D380" s="11" t="s">
        <v>11</v>
      </c>
      <c r="E380" s="11" t="s">
        <v>10</v>
      </c>
    </row>
    <row r="381" spans="1:8">
      <c r="C381" s="11" t="s">
        <v>9</v>
      </c>
      <c r="D381" s="11" t="s">
        <v>53</v>
      </c>
      <c r="E381" s="11" t="s">
        <v>52</v>
      </c>
    </row>
    <row r="382" spans="1:8">
      <c r="A382" s="9" t="s">
        <v>35</v>
      </c>
      <c r="B382" s="10" t="s">
        <v>5</v>
      </c>
      <c r="C382" s="9" t="s">
        <v>51</v>
      </c>
      <c r="D382" s="8" t="s">
        <v>3</v>
      </c>
      <c r="E382" s="7" t="s">
        <v>50</v>
      </c>
      <c r="F382" s="6">
        <v>3184.6</v>
      </c>
      <c r="G382" s="5">
        <v>1</v>
      </c>
      <c r="H382" s="4">
        <f t="shared" ref="H382:H388" si="15">F382*G382</f>
        <v>3184.6</v>
      </c>
    </row>
    <row r="383" spans="1:8">
      <c r="A383" s="9" t="s">
        <v>35</v>
      </c>
      <c r="B383" s="10" t="s">
        <v>25</v>
      </c>
      <c r="C383" s="9" t="s">
        <v>49</v>
      </c>
      <c r="D383" s="8" t="s">
        <v>3</v>
      </c>
      <c r="E383" s="7" t="s">
        <v>48</v>
      </c>
      <c r="F383" s="6">
        <v>1496.31</v>
      </c>
      <c r="G383" s="5">
        <v>1</v>
      </c>
      <c r="H383" s="4">
        <f t="shared" si="15"/>
        <v>1496.31</v>
      </c>
    </row>
    <row r="384" spans="1:8">
      <c r="A384" s="9" t="s">
        <v>35</v>
      </c>
      <c r="B384" s="10" t="s">
        <v>47</v>
      </c>
      <c r="C384" s="9" t="s">
        <v>46</v>
      </c>
      <c r="D384" s="8" t="s">
        <v>3</v>
      </c>
      <c r="E384" s="7" t="s">
        <v>45</v>
      </c>
      <c r="F384" s="6">
        <v>532.08000000000004</v>
      </c>
      <c r="G384" s="5">
        <v>20</v>
      </c>
      <c r="H384" s="4">
        <f t="shared" si="15"/>
        <v>10641.6</v>
      </c>
    </row>
    <row r="385" spans="1:8">
      <c r="A385" s="9" t="s">
        <v>35</v>
      </c>
      <c r="B385" s="10" t="s">
        <v>44</v>
      </c>
      <c r="C385" s="9" t="s">
        <v>43</v>
      </c>
      <c r="D385" s="8" t="s">
        <v>3</v>
      </c>
      <c r="E385" s="7" t="s">
        <v>42</v>
      </c>
      <c r="F385" s="6">
        <v>357.76</v>
      </c>
      <c r="G385" s="5">
        <v>3</v>
      </c>
      <c r="H385" s="4">
        <f t="shared" si="15"/>
        <v>1073.28</v>
      </c>
    </row>
    <row r="386" spans="1:8">
      <c r="A386" s="9" t="s">
        <v>35</v>
      </c>
      <c r="B386" s="10" t="s">
        <v>41</v>
      </c>
      <c r="C386" s="9" t="s">
        <v>40</v>
      </c>
      <c r="D386" s="8" t="s">
        <v>3</v>
      </c>
      <c r="E386" s="7" t="s">
        <v>39</v>
      </c>
      <c r="F386" s="6">
        <v>6014.65</v>
      </c>
      <c r="G386" s="5">
        <v>1</v>
      </c>
      <c r="H386" s="4">
        <f t="shared" si="15"/>
        <v>6014.65</v>
      </c>
    </row>
    <row r="387" spans="1:8">
      <c r="A387" s="9" t="s">
        <v>35</v>
      </c>
      <c r="B387" s="10" t="s">
        <v>38</v>
      </c>
      <c r="C387" s="9" t="s">
        <v>37</v>
      </c>
      <c r="D387" s="8" t="s">
        <v>3</v>
      </c>
      <c r="E387" s="7" t="s">
        <v>36</v>
      </c>
      <c r="F387" s="6">
        <v>8294.58</v>
      </c>
      <c r="G387" s="5">
        <v>1</v>
      </c>
      <c r="H387" s="4">
        <f t="shared" si="15"/>
        <v>8294.58</v>
      </c>
    </row>
    <row r="388" spans="1:8">
      <c r="A388" s="9" t="s">
        <v>35</v>
      </c>
      <c r="B388" s="10" t="s">
        <v>34</v>
      </c>
      <c r="C388" s="9" t="s">
        <v>33</v>
      </c>
      <c r="D388" s="8" t="s">
        <v>3</v>
      </c>
      <c r="E388" s="7" t="s">
        <v>32</v>
      </c>
      <c r="F388" s="6">
        <v>7259.28</v>
      </c>
      <c r="G388" s="5">
        <v>1</v>
      </c>
      <c r="H388" s="4">
        <f t="shared" si="15"/>
        <v>7259.28</v>
      </c>
    </row>
    <row r="389" spans="1:8">
      <c r="E389" s="3" t="s">
        <v>31</v>
      </c>
      <c r="H389" s="2">
        <f>SUM(H382:H388)</f>
        <v>37964.300000000003</v>
      </c>
    </row>
    <row r="391" spans="1:8">
      <c r="C391" s="11" t="s">
        <v>15</v>
      </c>
      <c r="D391" s="11" t="s">
        <v>14</v>
      </c>
      <c r="E391" s="11" t="s">
        <v>13</v>
      </c>
    </row>
    <row r="392" spans="1:8">
      <c r="C392" s="11" t="s">
        <v>12</v>
      </c>
      <c r="D392" s="11" t="s">
        <v>11</v>
      </c>
      <c r="E392" s="11" t="s">
        <v>10</v>
      </c>
    </row>
    <row r="393" spans="1:8">
      <c r="C393" s="11" t="s">
        <v>9</v>
      </c>
      <c r="D393" s="11" t="s">
        <v>30</v>
      </c>
      <c r="E393" s="11" t="s">
        <v>29</v>
      </c>
    </row>
    <row r="394" spans="1:8">
      <c r="A394" s="9" t="s">
        <v>26</v>
      </c>
      <c r="B394" s="10" t="s">
        <v>5</v>
      </c>
      <c r="C394" s="9" t="s">
        <v>28</v>
      </c>
      <c r="D394" s="8" t="s">
        <v>3</v>
      </c>
      <c r="E394" s="7" t="s">
        <v>27</v>
      </c>
      <c r="F394" s="6">
        <v>2166.8200000000002</v>
      </c>
      <c r="G394" s="5">
        <v>1</v>
      </c>
      <c r="H394" s="4">
        <f>F394*G394</f>
        <v>2166.8200000000002</v>
      </c>
    </row>
    <row r="395" spans="1:8">
      <c r="A395" s="9" t="s">
        <v>26</v>
      </c>
      <c r="B395" s="10" t="s">
        <v>25</v>
      </c>
      <c r="C395" s="9" t="s">
        <v>24</v>
      </c>
      <c r="D395" s="8" t="s">
        <v>3</v>
      </c>
      <c r="E395" s="7" t="s">
        <v>23</v>
      </c>
      <c r="F395" s="6">
        <v>1489.45</v>
      </c>
      <c r="G395" s="5">
        <v>1</v>
      </c>
      <c r="H395" s="4">
        <f>F395*G395</f>
        <v>1489.45</v>
      </c>
    </row>
    <row r="396" spans="1:8">
      <c r="E396" s="3" t="s">
        <v>22</v>
      </c>
      <c r="H396" s="2">
        <f>SUM(H394:H395)</f>
        <v>3656.2700000000004</v>
      </c>
    </row>
    <row r="398" spans="1:8">
      <c r="C398" s="11" t="s">
        <v>15</v>
      </c>
      <c r="D398" s="11" t="s">
        <v>14</v>
      </c>
      <c r="E398" s="11" t="s">
        <v>13</v>
      </c>
    </row>
    <row r="399" spans="1:8">
      <c r="C399" s="11" t="s">
        <v>12</v>
      </c>
      <c r="D399" s="11" t="s">
        <v>11</v>
      </c>
      <c r="E399" s="11" t="s">
        <v>10</v>
      </c>
    </row>
    <row r="400" spans="1:8">
      <c r="C400" s="11" t="s">
        <v>9</v>
      </c>
      <c r="D400" s="11" t="s">
        <v>21</v>
      </c>
      <c r="E400" s="11" t="s">
        <v>20</v>
      </c>
    </row>
    <row r="401" spans="1:8" ht="36">
      <c r="A401" s="9" t="s">
        <v>19</v>
      </c>
      <c r="B401" s="10" t="s">
        <v>5</v>
      </c>
      <c r="C401" s="9" t="s">
        <v>18</v>
      </c>
      <c r="D401" s="8" t="s">
        <v>3</v>
      </c>
      <c r="E401" s="7" t="s">
        <v>17</v>
      </c>
      <c r="F401" s="6">
        <v>9015.77</v>
      </c>
      <c r="G401" s="5">
        <v>1</v>
      </c>
      <c r="H401" s="4">
        <f>F401*G401</f>
        <v>9015.77</v>
      </c>
    </row>
    <row r="402" spans="1:8">
      <c r="E402" s="3" t="s">
        <v>16</v>
      </c>
      <c r="H402" s="2">
        <f>SUM(H401:H401)</f>
        <v>9015.77</v>
      </c>
    </row>
    <row r="404" spans="1:8">
      <c r="C404" s="11" t="s">
        <v>15</v>
      </c>
      <c r="D404" s="11" t="s">
        <v>14</v>
      </c>
      <c r="E404" s="11" t="s">
        <v>13</v>
      </c>
    </row>
    <row r="405" spans="1:8">
      <c r="C405" s="11" t="s">
        <v>12</v>
      </c>
      <c r="D405" s="11" t="s">
        <v>11</v>
      </c>
      <c r="E405" s="11" t="s">
        <v>10</v>
      </c>
    </row>
    <row r="406" spans="1:8">
      <c r="C406" s="11" t="s">
        <v>9</v>
      </c>
      <c r="D406" s="11" t="s">
        <v>8</v>
      </c>
      <c r="E406" s="11" t="s">
        <v>7</v>
      </c>
    </row>
    <row r="407" spans="1:8">
      <c r="A407" s="9" t="s">
        <v>6</v>
      </c>
      <c r="B407" s="10" t="s">
        <v>5</v>
      </c>
      <c r="C407" s="9" t="s">
        <v>4</v>
      </c>
      <c r="D407" s="8" t="s">
        <v>3</v>
      </c>
      <c r="E407" s="7" t="s">
        <v>2</v>
      </c>
      <c r="F407" s="6">
        <v>5261.66</v>
      </c>
      <c r="G407" s="5">
        <v>1</v>
      </c>
      <c r="H407" s="4">
        <f>F407*G407</f>
        <v>5261.66</v>
      </c>
    </row>
    <row r="408" spans="1:8">
      <c r="E408" s="3" t="s">
        <v>1</v>
      </c>
      <c r="H408" s="2">
        <f>SUM(H407:H407)</f>
        <v>5261.66</v>
      </c>
    </row>
    <row r="410" spans="1:8">
      <c r="E410" s="3" t="s">
        <v>949</v>
      </c>
      <c r="H410" s="2">
        <f>H408+H402+H396+H389+H377+H366+H349+H335+H321+H303+H290+H279+H267+H245+H235+H209+H192</f>
        <v>456015.43999999989</v>
      </c>
    </row>
    <row r="412" spans="1:8">
      <c r="E412" s="3" t="s">
        <v>0</v>
      </c>
      <c r="H412" s="2">
        <f>+ H19+ H38+ H57+ H91+ H100+ H111+ H125+ H137+ H154+ H161+ H167+ H173 + H192+ H209+ H235+ H245+ H267+ H279+ H290+ H303+ H321+ H335+ H349+ H366+ H377+ H389+ H396+ H402+ H408</f>
        <v>642663.0155000001</v>
      </c>
    </row>
  </sheetData>
  <mergeCells count="2">
    <mergeCell ref="A2:H2"/>
    <mergeCell ref="A3:H3"/>
  </mergeCells>
  <pageMargins left="0.7" right="0.7" top="0.75" bottom="0.75" header="0.3" footer="0.3"/>
  <pageSetup paperSize="9" scale="85" fitToHeight="0" orientation="landscape" r:id="rId1"/>
  <headerFooter>
    <oddFooter>&amp;L01/12/23&amp;R&amp;P/&amp;N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CF9E-BA8B-461D-9D91-0016EF33E3F5}">
  <dimension ref="A1:M624"/>
  <sheetViews>
    <sheetView topLeftCell="A486" workbookViewId="0">
      <selection activeCell="B1" sqref="B1"/>
    </sheetView>
  </sheetViews>
  <sheetFormatPr baseColWidth="10" defaultRowHeight="15"/>
  <cols>
    <col min="1" max="1" width="10.5703125" style="19" customWidth="1"/>
    <col min="2" max="2" width="9.42578125" style="19" customWidth="1"/>
    <col min="3" max="3" width="4.42578125" style="19" customWidth="1"/>
    <col min="4" max="4" width="97.42578125" style="19" customWidth="1"/>
    <col min="5" max="5" width="14.7109375" style="19" customWidth="1"/>
    <col min="6" max="7" width="8" style="19" customWidth="1"/>
    <col min="8" max="8" width="8.140625" style="19" customWidth="1"/>
    <col min="9" max="9" width="7" style="19" customWidth="1"/>
    <col min="10" max="10" width="8.85546875" style="19" customWidth="1"/>
    <col min="11" max="11" width="11.7109375" style="19" customWidth="1"/>
    <col min="12" max="12" width="11.5703125" style="19" customWidth="1"/>
    <col min="13" max="13" width="11.7109375" style="19" customWidth="1"/>
    <col min="14" max="16384" width="11.42578125" style="19"/>
  </cols>
  <sheetData>
    <row r="1" spans="1:13" ht="17.850000000000001" customHeight="1">
      <c r="A1" s="17" t="s">
        <v>416</v>
      </c>
      <c r="B1" s="89" t="s">
        <v>417</v>
      </c>
      <c r="C1" s="18"/>
      <c r="D1" s="18"/>
      <c r="E1" s="18"/>
      <c r="F1" s="18"/>
      <c r="G1" s="18"/>
      <c r="H1" s="18"/>
      <c r="I1" s="18"/>
      <c r="J1" s="18"/>
      <c r="K1" s="18"/>
      <c r="L1" s="18"/>
      <c r="M1" s="18"/>
    </row>
    <row r="2" spans="1:13" ht="17.850000000000001" customHeight="1">
      <c r="A2" s="18" t="s">
        <v>418</v>
      </c>
      <c r="B2" s="18"/>
      <c r="C2" s="18"/>
      <c r="D2" s="20"/>
      <c r="E2" s="20"/>
      <c r="F2" s="20"/>
      <c r="G2" s="20"/>
      <c r="H2" s="20"/>
      <c r="I2" s="20"/>
      <c r="J2" s="20"/>
      <c r="K2" s="20"/>
      <c r="L2" s="21" t="s">
        <v>419</v>
      </c>
      <c r="M2" s="22">
        <v>3</v>
      </c>
    </row>
    <row r="3" spans="1:13" ht="16.7" customHeight="1">
      <c r="A3" s="23" t="s">
        <v>420</v>
      </c>
      <c r="B3" s="23" t="s">
        <v>421</v>
      </c>
      <c r="C3" s="23" t="s">
        <v>422</v>
      </c>
      <c r="D3" s="23" t="s">
        <v>423</v>
      </c>
      <c r="E3" s="24"/>
      <c r="F3" s="24"/>
      <c r="G3" s="24"/>
      <c r="H3" s="24"/>
      <c r="I3" s="24"/>
      <c r="J3" s="24"/>
      <c r="K3" s="25" t="s">
        <v>424</v>
      </c>
      <c r="L3" s="25" t="s">
        <v>425</v>
      </c>
      <c r="M3" s="25" t="s">
        <v>426</v>
      </c>
    </row>
    <row r="4" spans="1:13" ht="25.15" customHeight="1">
      <c r="A4" s="26" t="s">
        <v>427</v>
      </c>
      <c r="B4" s="26" t="s">
        <v>428</v>
      </c>
      <c r="C4" s="27"/>
      <c r="D4" s="28" t="s">
        <v>417</v>
      </c>
      <c r="E4" s="28"/>
      <c r="F4" s="28"/>
      <c r="G4" s="28"/>
      <c r="H4" s="28"/>
      <c r="I4" s="28"/>
      <c r="J4" s="28"/>
      <c r="K4" s="27"/>
      <c r="L4" s="29">
        <f>L624</f>
        <v>250005.86000000004</v>
      </c>
      <c r="M4" s="29">
        <f>ROUND(L4,2)</f>
        <v>250005.86</v>
      </c>
    </row>
    <row r="5" spans="1:13" ht="15.4" customHeight="1">
      <c r="A5" s="30" t="s">
        <v>14</v>
      </c>
      <c r="B5" s="30" t="s">
        <v>428</v>
      </c>
      <c r="C5" s="31"/>
      <c r="D5" s="32" t="s">
        <v>429</v>
      </c>
      <c r="E5" s="32"/>
      <c r="F5" s="32"/>
      <c r="G5" s="32"/>
      <c r="H5" s="32"/>
      <c r="I5" s="32"/>
      <c r="J5" s="32"/>
      <c r="K5" s="31"/>
      <c r="L5" s="33">
        <f>L129</f>
        <v>31476.360000000004</v>
      </c>
      <c r="M5" s="33">
        <f>ROUND(L5,2)</f>
        <v>31476.36</v>
      </c>
    </row>
    <row r="6" spans="1:13" ht="15.4" customHeight="1">
      <c r="A6" s="34" t="s">
        <v>430</v>
      </c>
      <c r="B6" s="35" t="s">
        <v>431</v>
      </c>
      <c r="C6" s="35" t="s">
        <v>3</v>
      </c>
      <c r="D6" s="36" t="s">
        <v>432</v>
      </c>
      <c r="E6" s="36"/>
      <c r="F6" s="36"/>
      <c r="G6" s="36"/>
      <c r="H6" s="36"/>
      <c r="I6" s="36"/>
      <c r="J6" s="36"/>
      <c r="K6" s="37">
        <f>SUM(K9:K9)</f>
        <v>910</v>
      </c>
      <c r="L6" s="38">
        <f>ROUND(2.37*(1+M2/100),2)</f>
        <v>2.44</v>
      </c>
      <c r="M6" s="38">
        <f>ROUND(K6*L6,2)</f>
        <v>2220.4</v>
      </c>
    </row>
    <row r="7" spans="1:13" ht="12.2" customHeight="1">
      <c r="A7" s="39"/>
      <c r="B7" s="39"/>
      <c r="C7" s="39"/>
      <c r="D7" s="36" t="s">
        <v>433</v>
      </c>
      <c r="E7" s="36"/>
      <c r="F7" s="36"/>
      <c r="G7" s="36"/>
      <c r="H7" s="36"/>
      <c r="I7" s="36"/>
      <c r="J7" s="36"/>
      <c r="K7" s="36"/>
      <c r="L7" s="36"/>
      <c r="M7" s="36"/>
    </row>
    <row r="8" spans="1:13" ht="15.2" customHeight="1">
      <c r="A8" s="39"/>
      <c r="B8" s="39"/>
      <c r="C8" s="39"/>
      <c r="D8" s="39"/>
      <c r="E8" s="40"/>
      <c r="F8" s="41" t="s">
        <v>434</v>
      </c>
      <c r="G8" s="41" t="s">
        <v>435</v>
      </c>
      <c r="H8" s="41" t="s">
        <v>436</v>
      </c>
      <c r="I8" s="41" t="s">
        <v>437</v>
      </c>
      <c r="J8" s="41" t="s">
        <v>438</v>
      </c>
      <c r="K8" s="41" t="s">
        <v>439</v>
      </c>
      <c r="L8" s="39"/>
      <c r="M8" s="39"/>
    </row>
    <row r="9" spans="1:13" ht="15.2" customHeight="1">
      <c r="A9" s="39"/>
      <c r="B9" s="39"/>
      <c r="C9" s="39"/>
      <c r="D9" s="42"/>
      <c r="E9" s="43" t="s">
        <v>440</v>
      </c>
      <c r="F9" s="44">
        <v>910</v>
      </c>
      <c r="G9" s="45"/>
      <c r="H9" s="45"/>
      <c r="I9" s="45"/>
      <c r="J9" s="46">
        <f>ROUND(F9,3)</f>
        <v>910</v>
      </c>
      <c r="K9" s="47">
        <f>SUM(J9:J9)</f>
        <v>910</v>
      </c>
      <c r="L9" s="39"/>
      <c r="M9" s="39"/>
    </row>
    <row r="10" spans="1:13" ht="15.4" customHeight="1">
      <c r="A10" s="34" t="s">
        <v>441</v>
      </c>
      <c r="B10" s="35" t="s">
        <v>431</v>
      </c>
      <c r="C10" s="35" t="s">
        <v>3</v>
      </c>
      <c r="D10" s="36" t="s">
        <v>442</v>
      </c>
      <c r="E10" s="36"/>
      <c r="F10" s="36"/>
      <c r="G10" s="36"/>
      <c r="H10" s="36"/>
      <c r="I10" s="36"/>
      <c r="J10" s="36"/>
      <c r="K10" s="37">
        <f>SUM(K13:K14)</f>
        <v>2</v>
      </c>
      <c r="L10" s="38">
        <f>ROUND(865.6*(1+M2/100),2)</f>
        <v>891.57</v>
      </c>
      <c r="M10" s="38">
        <f>ROUND(K10*L10,2)</f>
        <v>1783.14</v>
      </c>
    </row>
    <row r="11" spans="1:13" ht="12.2" customHeight="1">
      <c r="A11" s="39"/>
      <c r="B11" s="39"/>
      <c r="C11" s="39"/>
      <c r="D11" s="36" t="s">
        <v>443</v>
      </c>
      <c r="E11" s="36"/>
      <c r="F11" s="36"/>
      <c r="G11" s="36"/>
      <c r="H11" s="36"/>
      <c r="I11" s="36"/>
      <c r="J11" s="36"/>
      <c r="K11" s="36"/>
      <c r="L11" s="36"/>
      <c r="M11" s="36"/>
    </row>
    <row r="12" spans="1:13" ht="15.2" customHeight="1">
      <c r="A12" s="39"/>
      <c r="B12" s="39"/>
      <c r="C12" s="39"/>
      <c r="D12" s="39"/>
      <c r="E12" s="40"/>
      <c r="F12" s="41" t="s">
        <v>434</v>
      </c>
      <c r="G12" s="41" t="s">
        <v>435</v>
      </c>
      <c r="H12" s="41" t="s">
        <v>436</v>
      </c>
      <c r="I12" s="41" t="s">
        <v>437</v>
      </c>
      <c r="J12" s="41" t="s">
        <v>438</v>
      </c>
      <c r="K12" s="41" t="s">
        <v>439</v>
      </c>
      <c r="L12" s="39"/>
      <c r="M12" s="39"/>
    </row>
    <row r="13" spans="1:13" ht="15.2" customHeight="1">
      <c r="A13" s="39"/>
      <c r="B13" s="39"/>
      <c r="C13" s="39"/>
      <c r="D13" s="42"/>
      <c r="E13" s="43" t="s">
        <v>444</v>
      </c>
      <c r="F13" s="44">
        <v>1</v>
      </c>
      <c r="G13" s="45"/>
      <c r="H13" s="45"/>
      <c r="I13" s="45"/>
      <c r="J13" s="46">
        <f>ROUND(F13,3)</f>
        <v>1</v>
      </c>
      <c r="K13" s="48"/>
      <c r="L13" s="39"/>
      <c r="M13" s="39"/>
    </row>
    <row r="14" spans="1:13" ht="15.2" customHeight="1">
      <c r="A14" s="39"/>
      <c r="B14" s="39"/>
      <c r="C14" s="39"/>
      <c r="D14" s="42"/>
      <c r="E14" s="35" t="s">
        <v>445</v>
      </c>
      <c r="F14" s="49">
        <v>1</v>
      </c>
      <c r="G14" s="37"/>
      <c r="H14" s="37"/>
      <c r="I14" s="37"/>
      <c r="J14" s="50">
        <f>ROUND(F14,3)</f>
        <v>1</v>
      </c>
      <c r="K14" s="51">
        <f>SUM(J13:J14)</f>
        <v>2</v>
      </c>
      <c r="L14" s="39"/>
      <c r="M14" s="39"/>
    </row>
    <row r="15" spans="1:13" ht="15.4" customHeight="1">
      <c r="A15" s="34" t="s">
        <v>446</v>
      </c>
      <c r="B15" s="35" t="s">
        <v>431</v>
      </c>
      <c r="C15" s="35" t="s">
        <v>422</v>
      </c>
      <c r="D15" s="36" t="s">
        <v>447</v>
      </c>
      <c r="E15" s="36"/>
      <c r="F15" s="36"/>
      <c r="G15" s="36"/>
      <c r="H15" s="36"/>
      <c r="I15" s="36"/>
      <c r="J15" s="36"/>
      <c r="K15" s="37">
        <f>SUM(K18:K18)</f>
        <v>6</v>
      </c>
      <c r="L15" s="38">
        <f>L24</f>
        <v>76.680000000000007</v>
      </c>
      <c r="M15" s="38">
        <f>ROUND(K15*L15,2)</f>
        <v>460.08</v>
      </c>
    </row>
    <row r="16" spans="1:13" ht="49.15" customHeight="1">
      <c r="A16" s="39"/>
      <c r="B16" s="39"/>
      <c r="C16" s="39"/>
      <c r="D16" s="36" t="s">
        <v>448</v>
      </c>
      <c r="E16" s="36"/>
      <c r="F16" s="36"/>
      <c r="G16" s="36"/>
      <c r="H16" s="36"/>
      <c r="I16" s="36"/>
      <c r="J16" s="36"/>
      <c r="K16" s="36"/>
      <c r="L16" s="36"/>
      <c r="M16" s="36"/>
    </row>
    <row r="17" spans="1:13" ht="15.2" customHeight="1">
      <c r="A17" s="39"/>
      <c r="B17" s="39"/>
      <c r="C17" s="39"/>
      <c r="D17" s="39"/>
      <c r="E17" s="40"/>
      <c r="F17" s="41" t="s">
        <v>434</v>
      </c>
      <c r="G17" s="41" t="s">
        <v>435</v>
      </c>
      <c r="H17" s="41" t="s">
        <v>436</v>
      </c>
      <c r="I17" s="41" t="s">
        <v>437</v>
      </c>
      <c r="J17" s="41" t="s">
        <v>438</v>
      </c>
      <c r="K17" s="41" t="s">
        <v>439</v>
      </c>
      <c r="L17" s="39"/>
      <c r="M17" s="39"/>
    </row>
    <row r="18" spans="1:13" ht="21.4" customHeight="1">
      <c r="A18" s="39"/>
      <c r="B18" s="39"/>
      <c r="C18" s="39"/>
      <c r="D18" s="42"/>
      <c r="E18" s="43" t="s">
        <v>449</v>
      </c>
      <c r="F18" s="44">
        <v>6</v>
      </c>
      <c r="G18" s="45"/>
      <c r="H18" s="45"/>
      <c r="I18" s="45"/>
      <c r="J18" s="46">
        <f>ROUND(F18,3)</f>
        <v>6</v>
      </c>
      <c r="K18" s="47">
        <f>SUM(J18:J18)</f>
        <v>6</v>
      </c>
      <c r="L18" s="39"/>
      <c r="M18" s="39"/>
    </row>
    <row r="19" spans="1:13" ht="15.2" customHeight="1">
      <c r="A19" s="35" t="s">
        <v>450</v>
      </c>
      <c r="B19" s="35" t="s">
        <v>451</v>
      </c>
      <c r="C19" s="35" t="s">
        <v>422</v>
      </c>
      <c r="D19" s="36" t="s">
        <v>447</v>
      </c>
      <c r="E19" s="36"/>
      <c r="F19" s="36"/>
      <c r="G19" s="36"/>
      <c r="H19" s="36"/>
      <c r="I19" s="36"/>
      <c r="J19" s="36"/>
      <c r="K19" s="37">
        <v>1</v>
      </c>
      <c r="L19" s="37">
        <f>ROUND(68.63,3)</f>
        <v>68.63</v>
      </c>
      <c r="M19" s="38">
        <f>ROUND(K19*L19,2)</f>
        <v>68.63</v>
      </c>
    </row>
    <row r="20" spans="1:13" ht="15.2" customHeight="1">
      <c r="A20" s="35" t="s">
        <v>452</v>
      </c>
      <c r="B20" s="35" t="s">
        <v>451</v>
      </c>
      <c r="C20" s="35" t="s">
        <v>422</v>
      </c>
      <c r="D20" s="36" t="s">
        <v>453</v>
      </c>
      <c r="E20" s="36"/>
      <c r="F20" s="36"/>
      <c r="G20" s="36"/>
      <c r="H20" s="36"/>
      <c r="I20" s="36"/>
      <c r="J20" s="36"/>
      <c r="K20" s="37">
        <v>0.1</v>
      </c>
      <c r="L20" s="37">
        <f>ROUND(2.1,3)</f>
        <v>2.1</v>
      </c>
      <c r="M20" s="38">
        <f>ROUND(K20*L20,2)</f>
        <v>0.21</v>
      </c>
    </row>
    <row r="21" spans="1:13" ht="15.2" customHeight="1">
      <c r="A21" s="35" t="s">
        <v>454</v>
      </c>
      <c r="B21" s="35" t="s">
        <v>455</v>
      </c>
      <c r="C21" s="35" t="s">
        <v>456</v>
      </c>
      <c r="D21" s="36" t="s">
        <v>457</v>
      </c>
      <c r="E21" s="36"/>
      <c r="F21" s="36"/>
      <c r="G21" s="36"/>
      <c r="H21" s="36"/>
      <c r="I21" s="36"/>
      <c r="J21" s="36"/>
      <c r="K21" s="37">
        <v>0.11</v>
      </c>
      <c r="L21" s="37">
        <f>ROUND(20.33,3)</f>
        <v>20.329999999999998</v>
      </c>
      <c r="M21" s="38">
        <f>ROUND(K21*L21,2)</f>
        <v>2.2400000000000002</v>
      </c>
    </row>
    <row r="22" spans="1:13" ht="15.2" customHeight="1">
      <c r="A22" s="35" t="s">
        <v>458</v>
      </c>
      <c r="B22" s="35" t="s">
        <v>455</v>
      </c>
      <c r="C22" s="35" t="s">
        <v>456</v>
      </c>
      <c r="D22" s="36" t="s">
        <v>459</v>
      </c>
      <c r="E22" s="36"/>
      <c r="F22" s="36"/>
      <c r="G22" s="36"/>
      <c r="H22" s="36"/>
      <c r="I22" s="36"/>
      <c r="J22" s="36"/>
      <c r="K22" s="37">
        <v>0.11</v>
      </c>
      <c r="L22" s="37">
        <f>ROUND(17.32,3)</f>
        <v>17.32</v>
      </c>
      <c r="M22" s="38">
        <f>ROUND(K22*L22,2)</f>
        <v>1.91</v>
      </c>
    </row>
    <row r="23" spans="1:13" ht="15.2" customHeight="1">
      <c r="A23" s="35" t="s">
        <v>460</v>
      </c>
      <c r="B23" s="35"/>
      <c r="C23" s="35" t="s">
        <v>460</v>
      </c>
      <c r="D23" s="36" t="s">
        <v>461</v>
      </c>
      <c r="E23" s="36"/>
      <c r="F23" s="36"/>
      <c r="G23" s="36"/>
      <c r="H23" s="36"/>
      <c r="I23" s="36"/>
      <c r="J23" s="36"/>
      <c r="K23" s="37">
        <v>2</v>
      </c>
      <c r="L23" s="37">
        <f>ROUND(72.99,3)</f>
        <v>72.989999999999995</v>
      </c>
      <c r="M23" s="38">
        <f>ROUND((K23*L23)/100,2)</f>
        <v>1.46</v>
      </c>
    </row>
    <row r="24" spans="1:13" ht="15.4" customHeight="1">
      <c r="A24" s="52"/>
      <c r="B24" s="52"/>
      <c r="C24" s="52"/>
      <c r="D24" s="53" t="s">
        <v>446</v>
      </c>
      <c r="E24" s="52"/>
      <c r="F24" s="52"/>
      <c r="G24" s="52"/>
      <c r="H24" s="52"/>
      <c r="I24" s="52"/>
      <c r="J24" s="52"/>
      <c r="K24" s="54">
        <v>6</v>
      </c>
      <c r="L24" s="55">
        <f>ROUND((M19+M20+M21+M22+M23)*(1+M2/100),2)</f>
        <v>76.680000000000007</v>
      </c>
      <c r="M24" s="55">
        <f>ROUND(K24*L24,2)</f>
        <v>460.08</v>
      </c>
    </row>
    <row r="25" spans="1:13" ht="15.4" customHeight="1">
      <c r="A25" s="56" t="s">
        <v>462</v>
      </c>
      <c r="B25" s="57" t="s">
        <v>431</v>
      </c>
      <c r="C25" s="57" t="s">
        <v>422</v>
      </c>
      <c r="D25" s="58" t="s">
        <v>463</v>
      </c>
      <c r="E25" s="58"/>
      <c r="F25" s="58"/>
      <c r="G25" s="58"/>
      <c r="H25" s="58"/>
      <c r="I25" s="58"/>
      <c r="J25" s="58"/>
      <c r="K25" s="59">
        <f>SUM(K28:K28)</f>
        <v>1</v>
      </c>
      <c r="L25" s="60">
        <f>L34</f>
        <v>505.06</v>
      </c>
      <c r="M25" s="60">
        <f>ROUND(K25*L25,2)</f>
        <v>505.06</v>
      </c>
    </row>
    <row r="26" spans="1:13" ht="49.15" customHeight="1">
      <c r="A26" s="39"/>
      <c r="B26" s="39"/>
      <c r="C26" s="39"/>
      <c r="D26" s="36" t="s">
        <v>464</v>
      </c>
      <c r="E26" s="36"/>
      <c r="F26" s="36"/>
      <c r="G26" s="36"/>
      <c r="H26" s="36"/>
      <c r="I26" s="36"/>
      <c r="J26" s="36"/>
      <c r="K26" s="36"/>
      <c r="L26" s="36"/>
      <c r="M26" s="36"/>
    </row>
    <row r="27" spans="1:13" ht="15.2" customHeight="1">
      <c r="A27" s="39"/>
      <c r="B27" s="39"/>
      <c r="C27" s="39"/>
      <c r="D27" s="39"/>
      <c r="E27" s="40"/>
      <c r="F27" s="41" t="s">
        <v>434</v>
      </c>
      <c r="G27" s="41" t="s">
        <v>435</v>
      </c>
      <c r="H27" s="41" t="s">
        <v>436</v>
      </c>
      <c r="I27" s="41" t="s">
        <v>437</v>
      </c>
      <c r="J27" s="41" t="s">
        <v>438</v>
      </c>
      <c r="K27" s="41" t="s">
        <v>439</v>
      </c>
      <c r="L27" s="39"/>
      <c r="M27" s="39"/>
    </row>
    <row r="28" spans="1:13" ht="15.2" customHeight="1">
      <c r="A28" s="39"/>
      <c r="B28" s="39"/>
      <c r="C28" s="39"/>
      <c r="D28" s="42"/>
      <c r="E28" s="43" t="s">
        <v>465</v>
      </c>
      <c r="F28" s="44">
        <v>1</v>
      </c>
      <c r="G28" s="45"/>
      <c r="H28" s="45"/>
      <c r="I28" s="45"/>
      <c r="J28" s="46">
        <f>ROUND(F28,3)</f>
        <v>1</v>
      </c>
      <c r="K28" s="47">
        <f>SUM(J28:J28)</f>
        <v>1</v>
      </c>
      <c r="L28" s="39"/>
      <c r="M28" s="39"/>
    </row>
    <row r="29" spans="1:13" ht="15.2" customHeight="1">
      <c r="A29" s="35" t="s">
        <v>466</v>
      </c>
      <c r="B29" s="35" t="s">
        <v>451</v>
      </c>
      <c r="C29" s="35" t="s">
        <v>422</v>
      </c>
      <c r="D29" s="36" t="s">
        <v>467</v>
      </c>
      <c r="E29" s="36"/>
      <c r="F29" s="36"/>
      <c r="G29" s="36"/>
      <c r="H29" s="36"/>
      <c r="I29" s="36"/>
      <c r="J29" s="36"/>
      <c r="K29" s="37">
        <v>1</v>
      </c>
      <c r="L29" s="37">
        <f>ROUND(438.81,3)</f>
        <v>438.81</v>
      </c>
      <c r="M29" s="38">
        <f>ROUND(K29*L29,2)</f>
        <v>438.81</v>
      </c>
    </row>
    <row r="30" spans="1:13" ht="15.2" customHeight="1">
      <c r="A30" s="35" t="s">
        <v>468</v>
      </c>
      <c r="B30" s="35" t="s">
        <v>451</v>
      </c>
      <c r="C30" s="35" t="s">
        <v>422</v>
      </c>
      <c r="D30" s="36" t="s">
        <v>469</v>
      </c>
      <c r="E30" s="36"/>
      <c r="F30" s="36"/>
      <c r="G30" s="36"/>
      <c r="H30" s="36"/>
      <c r="I30" s="36"/>
      <c r="J30" s="36"/>
      <c r="K30" s="37">
        <v>1</v>
      </c>
      <c r="L30" s="37">
        <f>ROUND(1.4,3)</f>
        <v>1.4</v>
      </c>
      <c r="M30" s="38">
        <f>ROUND(K30*L30,2)</f>
        <v>1.4</v>
      </c>
    </row>
    <row r="31" spans="1:13" ht="15.2" customHeight="1">
      <c r="A31" s="35" t="s">
        <v>470</v>
      </c>
      <c r="B31" s="35" t="s">
        <v>455</v>
      </c>
      <c r="C31" s="35" t="s">
        <v>456</v>
      </c>
      <c r="D31" s="36" t="s">
        <v>471</v>
      </c>
      <c r="E31" s="36"/>
      <c r="F31" s="36"/>
      <c r="G31" s="36"/>
      <c r="H31" s="36"/>
      <c r="I31" s="36"/>
      <c r="J31" s="36"/>
      <c r="K31" s="37">
        <v>1.079</v>
      </c>
      <c r="L31" s="37">
        <f>ROUND(20.33,3)</f>
        <v>20.329999999999998</v>
      </c>
      <c r="M31" s="38">
        <f>ROUND(K31*L31,2)</f>
        <v>21.94</v>
      </c>
    </row>
    <row r="32" spans="1:13" ht="15.2" customHeight="1">
      <c r="A32" s="35" t="s">
        <v>472</v>
      </c>
      <c r="B32" s="35" t="s">
        <v>455</v>
      </c>
      <c r="C32" s="35" t="s">
        <v>456</v>
      </c>
      <c r="D32" s="36" t="s">
        <v>473</v>
      </c>
      <c r="E32" s="36"/>
      <c r="F32" s="36"/>
      <c r="G32" s="36"/>
      <c r="H32" s="36"/>
      <c r="I32" s="36"/>
      <c r="J32" s="36"/>
      <c r="K32" s="37">
        <v>0.53900000000000003</v>
      </c>
      <c r="L32" s="37">
        <f>ROUND(17.32,3)</f>
        <v>17.32</v>
      </c>
      <c r="M32" s="38">
        <f>ROUND(K32*L32,2)</f>
        <v>9.34</v>
      </c>
    </row>
    <row r="33" spans="1:13" ht="15.2" customHeight="1">
      <c r="A33" s="35" t="s">
        <v>460</v>
      </c>
      <c r="B33" s="35"/>
      <c r="C33" s="35" t="s">
        <v>460</v>
      </c>
      <c r="D33" s="36" t="s">
        <v>461</v>
      </c>
      <c r="E33" s="36"/>
      <c r="F33" s="36"/>
      <c r="G33" s="36"/>
      <c r="H33" s="36"/>
      <c r="I33" s="36"/>
      <c r="J33" s="36"/>
      <c r="K33" s="37">
        <v>4</v>
      </c>
      <c r="L33" s="37">
        <f>ROUND(471.49,3)</f>
        <v>471.49</v>
      </c>
      <c r="M33" s="38">
        <f>ROUND((K33*L33)/100,2)</f>
        <v>18.86</v>
      </c>
    </row>
    <row r="34" spans="1:13" ht="15.4" customHeight="1">
      <c r="A34" s="52"/>
      <c r="B34" s="52"/>
      <c r="C34" s="52"/>
      <c r="D34" s="53" t="s">
        <v>462</v>
      </c>
      <c r="E34" s="52"/>
      <c r="F34" s="52"/>
      <c r="G34" s="52"/>
      <c r="H34" s="52"/>
      <c r="I34" s="52"/>
      <c r="J34" s="52"/>
      <c r="K34" s="54">
        <v>1</v>
      </c>
      <c r="L34" s="55">
        <f>ROUND((M29+M30+M31+M32+M33)*(1+M2/100),2)</f>
        <v>505.06</v>
      </c>
      <c r="M34" s="55">
        <f>ROUND(K34*L34,2)</f>
        <v>505.06</v>
      </c>
    </row>
    <row r="35" spans="1:13" ht="15.4" customHeight="1">
      <c r="A35" s="56" t="s">
        <v>474</v>
      </c>
      <c r="B35" s="57" t="s">
        <v>431</v>
      </c>
      <c r="C35" s="57" t="s">
        <v>422</v>
      </c>
      <c r="D35" s="58" t="s">
        <v>475</v>
      </c>
      <c r="E35" s="58"/>
      <c r="F35" s="58"/>
      <c r="G35" s="58"/>
      <c r="H35" s="58"/>
      <c r="I35" s="58"/>
      <c r="J35" s="58"/>
      <c r="K35" s="59">
        <f>SUM(K38:K39)</f>
        <v>3</v>
      </c>
      <c r="L35" s="60">
        <f>L45</f>
        <v>14.88</v>
      </c>
      <c r="M35" s="60">
        <f>ROUND(K35*L35,2)</f>
        <v>44.64</v>
      </c>
    </row>
    <row r="36" spans="1:13" ht="49.15" customHeight="1">
      <c r="A36" s="39"/>
      <c r="B36" s="39"/>
      <c r="C36" s="39"/>
      <c r="D36" s="36" t="s">
        <v>476</v>
      </c>
      <c r="E36" s="36"/>
      <c r="F36" s="36"/>
      <c r="G36" s="36"/>
      <c r="H36" s="36"/>
      <c r="I36" s="36"/>
      <c r="J36" s="36"/>
      <c r="K36" s="36"/>
      <c r="L36" s="36"/>
      <c r="M36" s="36"/>
    </row>
    <row r="37" spans="1:13" ht="15.2" customHeight="1">
      <c r="A37" s="39"/>
      <c r="B37" s="39"/>
      <c r="C37" s="39"/>
      <c r="D37" s="39"/>
      <c r="E37" s="40"/>
      <c r="F37" s="41" t="s">
        <v>434</v>
      </c>
      <c r="G37" s="41" t="s">
        <v>435</v>
      </c>
      <c r="H37" s="41" t="s">
        <v>436</v>
      </c>
      <c r="I37" s="41" t="s">
        <v>437</v>
      </c>
      <c r="J37" s="41" t="s">
        <v>438</v>
      </c>
      <c r="K37" s="41" t="s">
        <v>439</v>
      </c>
      <c r="L37" s="39"/>
      <c r="M37" s="39"/>
    </row>
    <row r="38" spans="1:13" ht="21.4" customHeight="1">
      <c r="A38" s="39"/>
      <c r="B38" s="39"/>
      <c r="C38" s="39"/>
      <c r="D38" s="42"/>
      <c r="E38" s="43" t="s">
        <v>449</v>
      </c>
      <c r="F38" s="44">
        <v>2</v>
      </c>
      <c r="G38" s="45"/>
      <c r="H38" s="45"/>
      <c r="I38" s="45"/>
      <c r="J38" s="46">
        <f>ROUND(F38,3)</f>
        <v>2</v>
      </c>
      <c r="K38" s="48"/>
      <c r="L38" s="39"/>
      <c r="M38" s="39"/>
    </row>
    <row r="39" spans="1:13" ht="21.4" customHeight="1">
      <c r="A39" s="39"/>
      <c r="B39" s="39"/>
      <c r="C39" s="39"/>
      <c r="D39" s="42"/>
      <c r="E39" s="35" t="s">
        <v>477</v>
      </c>
      <c r="F39" s="49">
        <v>1</v>
      </c>
      <c r="G39" s="37"/>
      <c r="H39" s="37"/>
      <c r="I39" s="37"/>
      <c r="J39" s="50">
        <f>ROUND(F39,3)</f>
        <v>1</v>
      </c>
      <c r="K39" s="51">
        <f>SUM(J38:J39)</f>
        <v>3</v>
      </c>
      <c r="L39" s="39"/>
      <c r="M39" s="39"/>
    </row>
    <row r="40" spans="1:13" ht="15.2" customHeight="1">
      <c r="A40" s="35" t="s">
        <v>478</v>
      </c>
      <c r="B40" s="35" t="s">
        <v>451</v>
      </c>
      <c r="C40" s="35" t="s">
        <v>422</v>
      </c>
      <c r="D40" s="36" t="s">
        <v>475</v>
      </c>
      <c r="E40" s="36"/>
      <c r="F40" s="36"/>
      <c r="G40" s="36"/>
      <c r="H40" s="36"/>
      <c r="I40" s="36"/>
      <c r="J40" s="36"/>
      <c r="K40" s="37">
        <v>1</v>
      </c>
      <c r="L40" s="37">
        <f>ROUND(9.81,3)</f>
        <v>9.81</v>
      </c>
      <c r="M40" s="38">
        <f>ROUND(K40*L40,2)</f>
        <v>9.81</v>
      </c>
    </row>
    <row r="41" spans="1:13" ht="15.2" customHeight="1">
      <c r="A41" s="35" t="s">
        <v>452</v>
      </c>
      <c r="B41" s="35" t="s">
        <v>451</v>
      </c>
      <c r="C41" s="35" t="s">
        <v>422</v>
      </c>
      <c r="D41" s="36" t="s">
        <v>453</v>
      </c>
      <c r="E41" s="36"/>
      <c r="F41" s="36"/>
      <c r="G41" s="36"/>
      <c r="H41" s="36"/>
      <c r="I41" s="36"/>
      <c r="J41" s="36"/>
      <c r="K41" s="37">
        <v>0.1</v>
      </c>
      <c r="L41" s="37">
        <f>ROUND(2.1,3)</f>
        <v>2.1</v>
      </c>
      <c r="M41" s="38">
        <f>ROUND(K41*L41,2)</f>
        <v>0.21</v>
      </c>
    </row>
    <row r="42" spans="1:13" ht="15.2" customHeight="1">
      <c r="A42" s="35" t="s">
        <v>454</v>
      </c>
      <c r="B42" s="35" t="s">
        <v>455</v>
      </c>
      <c r="C42" s="35" t="s">
        <v>456</v>
      </c>
      <c r="D42" s="36" t="s">
        <v>457</v>
      </c>
      <c r="E42" s="36"/>
      <c r="F42" s="36"/>
      <c r="G42" s="36"/>
      <c r="H42" s="36"/>
      <c r="I42" s="36"/>
      <c r="J42" s="36"/>
      <c r="K42" s="37">
        <v>0.11</v>
      </c>
      <c r="L42" s="37">
        <f>ROUND(20.33,3)</f>
        <v>20.329999999999998</v>
      </c>
      <c r="M42" s="38">
        <f>ROUND(K42*L42,2)</f>
        <v>2.2400000000000002</v>
      </c>
    </row>
    <row r="43" spans="1:13" ht="15.2" customHeight="1">
      <c r="A43" s="35" t="s">
        <v>458</v>
      </c>
      <c r="B43" s="35" t="s">
        <v>455</v>
      </c>
      <c r="C43" s="35" t="s">
        <v>456</v>
      </c>
      <c r="D43" s="36" t="s">
        <v>459</v>
      </c>
      <c r="E43" s="36"/>
      <c r="F43" s="36"/>
      <c r="G43" s="36"/>
      <c r="H43" s="36"/>
      <c r="I43" s="36"/>
      <c r="J43" s="36"/>
      <c r="K43" s="37">
        <v>0.11</v>
      </c>
      <c r="L43" s="37">
        <f>ROUND(17.32,3)</f>
        <v>17.32</v>
      </c>
      <c r="M43" s="38">
        <f>ROUND(K43*L43,2)</f>
        <v>1.91</v>
      </c>
    </row>
    <row r="44" spans="1:13" ht="15.2" customHeight="1">
      <c r="A44" s="35" t="s">
        <v>460</v>
      </c>
      <c r="B44" s="35"/>
      <c r="C44" s="35" t="s">
        <v>460</v>
      </c>
      <c r="D44" s="36" t="s">
        <v>461</v>
      </c>
      <c r="E44" s="36"/>
      <c r="F44" s="36"/>
      <c r="G44" s="36"/>
      <c r="H44" s="36"/>
      <c r="I44" s="36"/>
      <c r="J44" s="36"/>
      <c r="K44" s="37">
        <v>2</v>
      </c>
      <c r="L44" s="37">
        <f>ROUND(14.17,3)</f>
        <v>14.17</v>
      </c>
      <c r="M44" s="38">
        <f>ROUND((K44*L44)/100,2)</f>
        <v>0.28000000000000003</v>
      </c>
    </row>
    <row r="45" spans="1:13" ht="15.4" customHeight="1">
      <c r="A45" s="52"/>
      <c r="B45" s="52"/>
      <c r="C45" s="52"/>
      <c r="D45" s="53" t="s">
        <v>474</v>
      </c>
      <c r="E45" s="52"/>
      <c r="F45" s="52"/>
      <c r="G45" s="52"/>
      <c r="H45" s="52"/>
      <c r="I45" s="52"/>
      <c r="J45" s="52"/>
      <c r="K45" s="54">
        <v>3</v>
      </c>
      <c r="L45" s="55">
        <f>ROUND((M40+M41+M42+M43+M44)*(1+M2/100),2)</f>
        <v>14.88</v>
      </c>
      <c r="M45" s="55">
        <f>ROUND(K45*L45,2)</f>
        <v>44.64</v>
      </c>
    </row>
    <row r="46" spans="1:13" ht="15.4" customHeight="1">
      <c r="A46" s="56" t="s">
        <v>479</v>
      </c>
      <c r="B46" s="57" t="s">
        <v>431</v>
      </c>
      <c r="C46" s="57" t="s">
        <v>422</v>
      </c>
      <c r="D46" s="58" t="s">
        <v>480</v>
      </c>
      <c r="E46" s="58"/>
      <c r="F46" s="58"/>
      <c r="G46" s="58"/>
      <c r="H46" s="58"/>
      <c r="I46" s="58"/>
      <c r="J46" s="58"/>
      <c r="K46" s="59">
        <f>SUM(K49:K49)</f>
        <v>1</v>
      </c>
      <c r="L46" s="60">
        <f>L55</f>
        <v>38.25</v>
      </c>
      <c r="M46" s="60">
        <f>ROUND(K46*L46,2)</f>
        <v>38.25</v>
      </c>
    </row>
    <row r="47" spans="1:13" ht="49.15" customHeight="1">
      <c r="A47" s="39"/>
      <c r="B47" s="39"/>
      <c r="C47" s="39"/>
      <c r="D47" s="36" t="s">
        <v>481</v>
      </c>
      <c r="E47" s="36"/>
      <c r="F47" s="36"/>
      <c r="G47" s="36"/>
      <c r="H47" s="36"/>
      <c r="I47" s="36"/>
      <c r="J47" s="36"/>
      <c r="K47" s="36"/>
      <c r="L47" s="36"/>
      <c r="M47" s="36"/>
    </row>
    <row r="48" spans="1:13" ht="15.2" customHeight="1">
      <c r="A48" s="39"/>
      <c r="B48" s="39"/>
      <c r="C48" s="39"/>
      <c r="D48" s="39"/>
      <c r="E48" s="40"/>
      <c r="F48" s="41" t="s">
        <v>434</v>
      </c>
      <c r="G48" s="41" t="s">
        <v>435</v>
      </c>
      <c r="H48" s="41" t="s">
        <v>436</v>
      </c>
      <c r="I48" s="41" t="s">
        <v>437</v>
      </c>
      <c r="J48" s="41" t="s">
        <v>438</v>
      </c>
      <c r="K48" s="41" t="s">
        <v>439</v>
      </c>
      <c r="L48" s="39"/>
      <c r="M48" s="39"/>
    </row>
    <row r="49" spans="1:13" ht="15.2" customHeight="1">
      <c r="A49" s="39"/>
      <c r="B49" s="39"/>
      <c r="C49" s="39"/>
      <c r="D49" s="42"/>
      <c r="E49" s="43" t="s">
        <v>482</v>
      </c>
      <c r="F49" s="44">
        <v>1</v>
      </c>
      <c r="G49" s="45"/>
      <c r="H49" s="45"/>
      <c r="I49" s="45"/>
      <c r="J49" s="46">
        <f>ROUND(F49,3)</f>
        <v>1</v>
      </c>
      <c r="K49" s="47">
        <f>SUM(J49:J49)</f>
        <v>1</v>
      </c>
      <c r="L49" s="39"/>
      <c r="M49" s="39"/>
    </row>
    <row r="50" spans="1:13" ht="15.2" customHeight="1">
      <c r="A50" s="35" t="s">
        <v>483</v>
      </c>
      <c r="B50" s="35" t="s">
        <v>451</v>
      </c>
      <c r="C50" s="35" t="s">
        <v>422</v>
      </c>
      <c r="D50" s="36" t="s">
        <v>480</v>
      </c>
      <c r="E50" s="36"/>
      <c r="F50" s="36"/>
      <c r="G50" s="36"/>
      <c r="H50" s="36"/>
      <c r="I50" s="36"/>
      <c r="J50" s="36"/>
      <c r="K50" s="37">
        <v>1</v>
      </c>
      <c r="L50" s="37">
        <f>ROUND(32.05,3)</f>
        <v>32.049999999999997</v>
      </c>
      <c r="M50" s="38">
        <f>ROUND(K50*L50,2)</f>
        <v>32.049999999999997</v>
      </c>
    </row>
    <row r="51" spans="1:13" ht="15.2" customHeight="1">
      <c r="A51" s="35" t="s">
        <v>452</v>
      </c>
      <c r="B51" s="35" t="s">
        <v>451</v>
      </c>
      <c r="C51" s="35" t="s">
        <v>422</v>
      </c>
      <c r="D51" s="36" t="s">
        <v>453</v>
      </c>
      <c r="E51" s="36"/>
      <c r="F51" s="36"/>
      <c r="G51" s="36"/>
      <c r="H51" s="36"/>
      <c r="I51" s="36"/>
      <c r="J51" s="36"/>
      <c r="K51" s="37">
        <v>0.1</v>
      </c>
      <c r="L51" s="37">
        <f>ROUND(2.1,3)</f>
        <v>2.1</v>
      </c>
      <c r="M51" s="38">
        <f>ROUND(K51*L51,2)</f>
        <v>0.21</v>
      </c>
    </row>
    <row r="52" spans="1:13" ht="15.2" customHeight="1">
      <c r="A52" s="35" t="s">
        <v>454</v>
      </c>
      <c r="B52" s="35" t="s">
        <v>455</v>
      </c>
      <c r="C52" s="35" t="s">
        <v>456</v>
      </c>
      <c r="D52" s="36" t="s">
        <v>457</v>
      </c>
      <c r="E52" s="36"/>
      <c r="F52" s="36"/>
      <c r="G52" s="36"/>
      <c r="H52" s="36"/>
      <c r="I52" s="36"/>
      <c r="J52" s="36"/>
      <c r="K52" s="37">
        <v>0.11</v>
      </c>
      <c r="L52" s="37">
        <f>ROUND(20.33,3)</f>
        <v>20.329999999999998</v>
      </c>
      <c r="M52" s="38">
        <f>ROUND(K52*L52,2)</f>
        <v>2.2400000000000002</v>
      </c>
    </row>
    <row r="53" spans="1:13" ht="15.2" customHeight="1">
      <c r="A53" s="35" t="s">
        <v>458</v>
      </c>
      <c r="B53" s="35" t="s">
        <v>455</v>
      </c>
      <c r="C53" s="35" t="s">
        <v>456</v>
      </c>
      <c r="D53" s="36" t="s">
        <v>459</v>
      </c>
      <c r="E53" s="36"/>
      <c r="F53" s="36"/>
      <c r="G53" s="36"/>
      <c r="H53" s="36"/>
      <c r="I53" s="36"/>
      <c r="J53" s="36"/>
      <c r="K53" s="37">
        <v>0.11</v>
      </c>
      <c r="L53" s="37">
        <f>ROUND(17.32,3)</f>
        <v>17.32</v>
      </c>
      <c r="M53" s="38">
        <f>ROUND(K53*L53,2)</f>
        <v>1.91</v>
      </c>
    </row>
    <row r="54" spans="1:13" ht="15.2" customHeight="1">
      <c r="A54" s="35" t="s">
        <v>460</v>
      </c>
      <c r="B54" s="35"/>
      <c r="C54" s="35" t="s">
        <v>460</v>
      </c>
      <c r="D54" s="36" t="s">
        <v>461</v>
      </c>
      <c r="E54" s="36"/>
      <c r="F54" s="36"/>
      <c r="G54" s="36"/>
      <c r="H54" s="36"/>
      <c r="I54" s="36"/>
      <c r="J54" s="36"/>
      <c r="K54" s="37">
        <v>2</v>
      </c>
      <c r="L54" s="37">
        <f>ROUND(36.41,3)</f>
        <v>36.409999999999997</v>
      </c>
      <c r="M54" s="38">
        <f>ROUND((K54*L54)/100,2)</f>
        <v>0.73</v>
      </c>
    </row>
    <row r="55" spans="1:13" ht="15.4" customHeight="1">
      <c r="A55" s="52"/>
      <c r="B55" s="52"/>
      <c r="C55" s="52"/>
      <c r="D55" s="53" t="s">
        <v>479</v>
      </c>
      <c r="E55" s="52"/>
      <c r="F55" s="52"/>
      <c r="G55" s="52"/>
      <c r="H55" s="52"/>
      <c r="I55" s="52"/>
      <c r="J55" s="52"/>
      <c r="K55" s="54">
        <v>1</v>
      </c>
      <c r="L55" s="55">
        <f>ROUND((M50+M51+M52+M53+M54)*(1+M2/100),2)</f>
        <v>38.25</v>
      </c>
      <c r="M55" s="55">
        <f>ROUND(K55*L55,2)</f>
        <v>38.25</v>
      </c>
    </row>
    <row r="56" spans="1:13" ht="15.4" customHeight="1">
      <c r="A56" s="56" t="s">
        <v>484</v>
      </c>
      <c r="B56" s="57" t="s">
        <v>431</v>
      </c>
      <c r="C56" s="57" t="s">
        <v>422</v>
      </c>
      <c r="D56" s="58" t="s">
        <v>485</v>
      </c>
      <c r="E56" s="58"/>
      <c r="F56" s="58"/>
      <c r="G56" s="58"/>
      <c r="H56" s="58"/>
      <c r="I56" s="58"/>
      <c r="J56" s="58"/>
      <c r="K56" s="59">
        <f>SUM(K59:K59)</f>
        <v>1</v>
      </c>
      <c r="L56" s="60">
        <f>L68</f>
        <v>160.87</v>
      </c>
      <c r="M56" s="60">
        <f>ROUND(K56*L56,2)</f>
        <v>160.87</v>
      </c>
    </row>
    <row r="57" spans="1:13" ht="58.35" customHeight="1">
      <c r="A57" s="39"/>
      <c r="B57" s="39"/>
      <c r="C57" s="39"/>
      <c r="D57" s="36" t="s">
        <v>486</v>
      </c>
      <c r="E57" s="36"/>
      <c r="F57" s="36"/>
      <c r="G57" s="36"/>
      <c r="H57" s="36"/>
      <c r="I57" s="36"/>
      <c r="J57" s="36"/>
      <c r="K57" s="36"/>
      <c r="L57" s="36"/>
      <c r="M57" s="36"/>
    </row>
    <row r="58" spans="1:13" ht="15.2" customHeight="1">
      <c r="A58" s="39"/>
      <c r="B58" s="39"/>
      <c r="C58" s="39"/>
      <c r="D58" s="39"/>
      <c r="E58" s="40"/>
      <c r="F58" s="41" t="s">
        <v>434</v>
      </c>
      <c r="G58" s="41" t="s">
        <v>435</v>
      </c>
      <c r="H58" s="41" t="s">
        <v>436</v>
      </c>
      <c r="I58" s="41" t="s">
        <v>437</v>
      </c>
      <c r="J58" s="41" t="s">
        <v>438</v>
      </c>
      <c r="K58" s="41" t="s">
        <v>439</v>
      </c>
      <c r="L58" s="39"/>
      <c r="M58" s="39"/>
    </row>
    <row r="59" spans="1:13" ht="21.4" customHeight="1">
      <c r="A59" s="39"/>
      <c r="B59" s="39"/>
      <c r="C59" s="39"/>
      <c r="D59" s="42"/>
      <c r="E59" s="43" t="s">
        <v>449</v>
      </c>
      <c r="F59" s="44">
        <v>1</v>
      </c>
      <c r="G59" s="45"/>
      <c r="H59" s="45"/>
      <c r="I59" s="45"/>
      <c r="J59" s="46">
        <f>ROUND(F59,3)</f>
        <v>1</v>
      </c>
      <c r="K59" s="47">
        <f>SUM(J59:J59)</f>
        <v>1</v>
      </c>
      <c r="L59" s="39"/>
      <c r="M59" s="39"/>
    </row>
    <row r="60" spans="1:13" ht="21.4" customHeight="1">
      <c r="A60" s="35" t="s">
        <v>487</v>
      </c>
      <c r="B60" s="35" t="s">
        <v>451</v>
      </c>
      <c r="C60" s="35" t="s">
        <v>422</v>
      </c>
      <c r="D60" s="36" t="s">
        <v>488</v>
      </c>
      <c r="E60" s="36"/>
      <c r="F60" s="36"/>
      <c r="G60" s="36"/>
      <c r="H60" s="36"/>
      <c r="I60" s="36"/>
      <c r="J60" s="36"/>
      <c r="K60" s="37">
        <v>1</v>
      </c>
      <c r="L60" s="37">
        <f>ROUND(124.13,3)</f>
        <v>124.13</v>
      </c>
      <c r="M60" s="38">
        <f t="shared" ref="M60:M66" si="0">ROUND(K60*L60,2)</f>
        <v>124.13</v>
      </c>
    </row>
    <row r="61" spans="1:13" ht="49.15" customHeight="1">
      <c r="A61" s="35" t="s">
        <v>489</v>
      </c>
      <c r="B61" s="35" t="s">
        <v>451</v>
      </c>
      <c r="C61" s="35" t="s">
        <v>56</v>
      </c>
      <c r="D61" s="36" t="s">
        <v>490</v>
      </c>
      <c r="E61" s="36"/>
      <c r="F61" s="36"/>
      <c r="G61" s="36"/>
      <c r="H61" s="36"/>
      <c r="I61" s="36"/>
      <c r="J61" s="36"/>
      <c r="K61" s="37">
        <v>5</v>
      </c>
      <c r="L61" s="37">
        <f>ROUND(0.85,3)</f>
        <v>0.85</v>
      </c>
      <c r="M61" s="38">
        <f t="shared" si="0"/>
        <v>4.25</v>
      </c>
    </row>
    <row r="62" spans="1:13" ht="30.6" customHeight="1">
      <c r="A62" s="35" t="s">
        <v>491</v>
      </c>
      <c r="B62" s="35" t="s">
        <v>451</v>
      </c>
      <c r="C62" s="35" t="s">
        <v>56</v>
      </c>
      <c r="D62" s="36" t="s">
        <v>492</v>
      </c>
      <c r="E62" s="36"/>
      <c r="F62" s="36"/>
      <c r="G62" s="36"/>
      <c r="H62" s="36"/>
      <c r="I62" s="36"/>
      <c r="J62" s="36"/>
      <c r="K62" s="37">
        <v>10</v>
      </c>
      <c r="L62" s="37">
        <f>ROUND(0.41,3)</f>
        <v>0.41</v>
      </c>
      <c r="M62" s="38">
        <f t="shared" si="0"/>
        <v>4.0999999999999996</v>
      </c>
    </row>
    <row r="63" spans="1:13" ht="15.2" customHeight="1">
      <c r="A63" s="35" t="s">
        <v>470</v>
      </c>
      <c r="B63" s="35" t="s">
        <v>455</v>
      </c>
      <c r="C63" s="35" t="s">
        <v>456</v>
      </c>
      <c r="D63" s="36" t="s">
        <v>471</v>
      </c>
      <c r="E63" s="36"/>
      <c r="F63" s="36"/>
      <c r="G63" s="36"/>
      <c r="H63" s="36"/>
      <c r="I63" s="36"/>
      <c r="J63" s="36"/>
      <c r="K63" s="37">
        <v>0.27400000000000002</v>
      </c>
      <c r="L63" s="37">
        <f>ROUND(20.33,3)</f>
        <v>20.329999999999998</v>
      </c>
      <c r="M63" s="38">
        <f t="shared" si="0"/>
        <v>5.57</v>
      </c>
    </row>
    <row r="64" spans="1:13" ht="15.2" customHeight="1">
      <c r="A64" s="35" t="s">
        <v>472</v>
      </c>
      <c r="B64" s="35" t="s">
        <v>455</v>
      </c>
      <c r="C64" s="35" t="s">
        <v>456</v>
      </c>
      <c r="D64" s="36" t="s">
        <v>473</v>
      </c>
      <c r="E64" s="36"/>
      <c r="F64" s="36"/>
      <c r="G64" s="36"/>
      <c r="H64" s="36"/>
      <c r="I64" s="36"/>
      <c r="J64" s="36"/>
      <c r="K64" s="37">
        <v>0.27400000000000002</v>
      </c>
      <c r="L64" s="37">
        <f>ROUND(17.32,3)</f>
        <v>17.32</v>
      </c>
      <c r="M64" s="38">
        <f t="shared" si="0"/>
        <v>4.75</v>
      </c>
    </row>
    <row r="65" spans="1:13" ht="15.2" customHeight="1">
      <c r="A65" s="35" t="s">
        <v>493</v>
      </c>
      <c r="B65" s="35" t="s">
        <v>455</v>
      </c>
      <c r="C65" s="35" t="s">
        <v>456</v>
      </c>
      <c r="D65" s="36" t="s">
        <v>494</v>
      </c>
      <c r="E65" s="36"/>
      <c r="F65" s="36"/>
      <c r="G65" s="36"/>
      <c r="H65" s="36"/>
      <c r="I65" s="36"/>
      <c r="J65" s="36"/>
      <c r="K65" s="37">
        <v>0.27400000000000002</v>
      </c>
      <c r="L65" s="37">
        <f>ROUND(20.33,3)</f>
        <v>20.329999999999998</v>
      </c>
      <c r="M65" s="38">
        <f t="shared" si="0"/>
        <v>5.57</v>
      </c>
    </row>
    <row r="66" spans="1:13" ht="15.2" customHeight="1">
      <c r="A66" s="35" t="s">
        <v>495</v>
      </c>
      <c r="B66" s="35" t="s">
        <v>455</v>
      </c>
      <c r="C66" s="35" t="s">
        <v>456</v>
      </c>
      <c r="D66" s="36" t="s">
        <v>496</v>
      </c>
      <c r="E66" s="36"/>
      <c r="F66" s="36"/>
      <c r="G66" s="36"/>
      <c r="H66" s="36"/>
      <c r="I66" s="36"/>
      <c r="J66" s="36"/>
      <c r="K66" s="37">
        <v>0.27400000000000002</v>
      </c>
      <c r="L66" s="37">
        <f>ROUND(17.32,3)</f>
        <v>17.32</v>
      </c>
      <c r="M66" s="38">
        <f t="shared" si="0"/>
        <v>4.75</v>
      </c>
    </row>
    <row r="67" spans="1:13" ht="15.2" customHeight="1">
      <c r="A67" s="35" t="s">
        <v>460</v>
      </c>
      <c r="B67" s="35"/>
      <c r="C67" s="35" t="s">
        <v>460</v>
      </c>
      <c r="D67" s="36" t="s">
        <v>461</v>
      </c>
      <c r="E67" s="36"/>
      <c r="F67" s="36"/>
      <c r="G67" s="36"/>
      <c r="H67" s="36"/>
      <c r="I67" s="36"/>
      <c r="J67" s="36"/>
      <c r="K67" s="37">
        <v>2</v>
      </c>
      <c r="L67" s="37">
        <f>ROUND(153.12,3)</f>
        <v>153.12</v>
      </c>
      <c r="M67" s="38">
        <f>ROUND((K67*L67)/100,2)</f>
        <v>3.06</v>
      </c>
    </row>
    <row r="68" spans="1:13" ht="15.4" customHeight="1">
      <c r="A68" s="52"/>
      <c r="B68" s="52"/>
      <c r="C68" s="52"/>
      <c r="D68" s="53" t="s">
        <v>484</v>
      </c>
      <c r="E68" s="52"/>
      <c r="F68" s="52"/>
      <c r="G68" s="52"/>
      <c r="H68" s="52"/>
      <c r="I68" s="52"/>
      <c r="J68" s="52"/>
      <c r="K68" s="54">
        <v>1</v>
      </c>
      <c r="L68" s="55">
        <f>ROUND((M60+M61+M62+M63+M64+M65+M66+M67)*(1+M2/100),2)</f>
        <v>160.87</v>
      </c>
      <c r="M68" s="55">
        <f>ROUND(K68*L68,2)</f>
        <v>160.87</v>
      </c>
    </row>
    <row r="69" spans="1:13" ht="21.4" customHeight="1">
      <c r="A69" s="56" t="s">
        <v>497</v>
      </c>
      <c r="B69" s="57" t="s">
        <v>431</v>
      </c>
      <c r="C69" s="57" t="s">
        <v>422</v>
      </c>
      <c r="D69" s="58" t="s">
        <v>498</v>
      </c>
      <c r="E69" s="58"/>
      <c r="F69" s="58"/>
      <c r="G69" s="58"/>
      <c r="H69" s="58"/>
      <c r="I69" s="58"/>
      <c r="J69" s="58"/>
      <c r="K69" s="59">
        <f>SUM(K72:K72)</f>
        <v>1</v>
      </c>
      <c r="L69" s="60">
        <f>L78</f>
        <v>381.13</v>
      </c>
      <c r="M69" s="60">
        <f>ROUND(K69*L69,2)</f>
        <v>381.13</v>
      </c>
    </row>
    <row r="70" spans="1:13" ht="58.35" customHeight="1">
      <c r="A70" s="39"/>
      <c r="B70" s="39"/>
      <c r="C70" s="39"/>
      <c r="D70" s="36" t="s">
        <v>499</v>
      </c>
      <c r="E70" s="36"/>
      <c r="F70" s="36"/>
      <c r="G70" s="36"/>
      <c r="H70" s="36"/>
      <c r="I70" s="36"/>
      <c r="J70" s="36"/>
      <c r="K70" s="36"/>
      <c r="L70" s="36"/>
      <c r="M70" s="36"/>
    </row>
    <row r="71" spans="1:13" ht="15.2" customHeight="1">
      <c r="A71" s="39"/>
      <c r="B71" s="39"/>
      <c r="C71" s="39"/>
      <c r="D71" s="39"/>
      <c r="E71" s="40"/>
      <c r="F71" s="41" t="s">
        <v>434</v>
      </c>
      <c r="G71" s="41" t="s">
        <v>435</v>
      </c>
      <c r="H71" s="41" t="s">
        <v>436</v>
      </c>
      <c r="I71" s="41" t="s">
        <v>437</v>
      </c>
      <c r="J71" s="41" t="s">
        <v>438</v>
      </c>
      <c r="K71" s="41" t="s">
        <v>439</v>
      </c>
      <c r="L71" s="39"/>
      <c r="M71" s="39"/>
    </row>
    <row r="72" spans="1:13" ht="15.2" customHeight="1">
      <c r="A72" s="39"/>
      <c r="B72" s="39"/>
      <c r="C72" s="39"/>
      <c r="D72" s="42"/>
      <c r="E72" s="43" t="s">
        <v>482</v>
      </c>
      <c r="F72" s="44">
        <v>1</v>
      </c>
      <c r="G72" s="45"/>
      <c r="H72" s="45"/>
      <c r="I72" s="45"/>
      <c r="J72" s="46">
        <f>ROUND(F72,3)</f>
        <v>1</v>
      </c>
      <c r="K72" s="47">
        <f>SUM(J72:J72)</f>
        <v>1</v>
      </c>
      <c r="L72" s="39"/>
      <c r="M72" s="39"/>
    </row>
    <row r="73" spans="1:13" ht="30.6" customHeight="1">
      <c r="A73" s="35" t="s">
        <v>500</v>
      </c>
      <c r="B73" s="35" t="s">
        <v>451</v>
      </c>
      <c r="C73" s="35" t="s">
        <v>422</v>
      </c>
      <c r="D73" s="36" t="s">
        <v>501</v>
      </c>
      <c r="E73" s="36"/>
      <c r="F73" s="36"/>
      <c r="G73" s="36"/>
      <c r="H73" s="36"/>
      <c r="I73" s="36"/>
      <c r="J73" s="36"/>
      <c r="K73" s="37">
        <v>1</v>
      </c>
      <c r="L73" s="37">
        <f>ROUND(358.41,3)</f>
        <v>358.41</v>
      </c>
      <c r="M73" s="38">
        <f>ROUND(K73*L73,2)</f>
        <v>358.41</v>
      </c>
    </row>
    <row r="74" spans="1:13" ht="15.2" customHeight="1">
      <c r="A74" s="35" t="s">
        <v>452</v>
      </c>
      <c r="B74" s="35" t="s">
        <v>451</v>
      </c>
      <c r="C74" s="35" t="s">
        <v>422</v>
      </c>
      <c r="D74" s="36" t="s">
        <v>453</v>
      </c>
      <c r="E74" s="36"/>
      <c r="F74" s="36"/>
      <c r="G74" s="36"/>
      <c r="H74" s="36"/>
      <c r="I74" s="36"/>
      <c r="J74" s="36"/>
      <c r="K74" s="37">
        <v>0.1</v>
      </c>
      <c r="L74" s="37">
        <f>ROUND(2.1,3)</f>
        <v>2.1</v>
      </c>
      <c r="M74" s="38">
        <f>ROUND(K74*L74,2)</f>
        <v>0.21</v>
      </c>
    </row>
    <row r="75" spans="1:13" ht="15.2" customHeight="1">
      <c r="A75" s="35" t="s">
        <v>454</v>
      </c>
      <c r="B75" s="35" t="s">
        <v>455</v>
      </c>
      <c r="C75" s="35" t="s">
        <v>456</v>
      </c>
      <c r="D75" s="36" t="s">
        <v>457</v>
      </c>
      <c r="E75" s="36"/>
      <c r="F75" s="36"/>
      <c r="G75" s="36"/>
      <c r="H75" s="36"/>
      <c r="I75" s="36"/>
      <c r="J75" s="36"/>
      <c r="K75" s="37">
        <v>0.11</v>
      </c>
      <c r="L75" s="37">
        <f>ROUND(20.33,3)</f>
        <v>20.329999999999998</v>
      </c>
      <c r="M75" s="38">
        <f>ROUND(K75*L75,2)</f>
        <v>2.2400000000000002</v>
      </c>
    </row>
    <row r="76" spans="1:13" ht="15.2" customHeight="1">
      <c r="A76" s="35" t="s">
        <v>458</v>
      </c>
      <c r="B76" s="35" t="s">
        <v>455</v>
      </c>
      <c r="C76" s="35" t="s">
        <v>456</v>
      </c>
      <c r="D76" s="36" t="s">
        <v>459</v>
      </c>
      <c r="E76" s="36"/>
      <c r="F76" s="36"/>
      <c r="G76" s="36"/>
      <c r="H76" s="36"/>
      <c r="I76" s="36"/>
      <c r="J76" s="36"/>
      <c r="K76" s="37">
        <v>0.11</v>
      </c>
      <c r="L76" s="37">
        <f>ROUND(17.32,3)</f>
        <v>17.32</v>
      </c>
      <c r="M76" s="38">
        <f>ROUND(K76*L76,2)</f>
        <v>1.91</v>
      </c>
    </row>
    <row r="77" spans="1:13" ht="15.2" customHeight="1">
      <c r="A77" s="35" t="s">
        <v>460</v>
      </c>
      <c r="B77" s="35"/>
      <c r="C77" s="35" t="s">
        <v>460</v>
      </c>
      <c r="D77" s="36" t="s">
        <v>461</v>
      </c>
      <c r="E77" s="36"/>
      <c r="F77" s="36"/>
      <c r="G77" s="36"/>
      <c r="H77" s="36"/>
      <c r="I77" s="36"/>
      <c r="J77" s="36"/>
      <c r="K77" s="37">
        <v>2</v>
      </c>
      <c r="L77" s="37">
        <f>ROUND(362.77,3)</f>
        <v>362.77</v>
      </c>
      <c r="M77" s="38">
        <f>ROUND((K77*L77)/100,2)</f>
        <v>7.26</v>
      </c>
    </row>
    <row r="78" spans="1:13" ht="15.4" customHeight="1">
      <c r="A78" s="52"/>
      <c r="B78" s="52"/>
      <c r="C78" s="52"/>
      <c r="D78" s="53" t="s">
        <v>497</v>
      </c>
      <c r="E78" s="52"/>
      <c r="F78" s="52"/>
      <c r="G78" s="52"/>
      <c r="H78" s="52"/>
      <c r="I78" s="52"/>
      <c r="J78" s="52"/>
      <c r="K78" s="54">
        <v>1</v>
      </c>
      <c r="L78" s="55">
        <f>ROUND((M73+M74+M75+M76+M77)*(1+M2/100),2)</f>
        <v>381.13</v>
      </c>
      <c r="M78" s="55">
        <f>ROUND(K78*L78,2)</f>
        <v>381.13</v>
      </c>
    </row>
    <row r="79" spans="1:13" ht="15.4" customHeight="1">
      <c r="A79" s="56" t="s">
        <v>502</v>
      </c>
      <c r="B79" s="57" t="s">
        <v>431</v>
      </c>
      <c r="C79" s="57" t="s">
        <v>3</v>
      </c>
      <c r="D79" s="58" t="s">
        <v>503</v>
      </c>
      <c r="E79" s="58"/>
      <c r="F79" s="58"/>
      <c r="G79" s="58"/>
      <c r="H79" s="58"/>
      <c r="I79" s="58"/>
      <c r="J79" s="58"/>
      <c r="K79" s="59">
        <f>SUM(K82:K82)</f>
        <v>1</v>
      </c>
      <c r="L79" s="60">
        <f>ROUND(43.66*(1+M2/100),2)</f>
        <v>44.97</v>
      </c>
      <c r="M79" s="60">
        <f>ROUND(K79*L79,2)</f>
        <v>44.97</v>
      </c>
    </row>
    <row r="80" spans="1:13" ht="12.2" customHeight="1">
      <c r="A80" s="39"/>
      <c r="B80" s="39"/>
      <c r="C80" s="39"/>
      <c r="D80" s="36" t="s">
        <v>504</v>
      </c>
      <c r="E80" s="36"/>
      <c r="F80" s="36"/>
      <c r="G80" s="36"/>
      <c r="H80" s="36"/>
      <c r="I80" s="36"/>
      <c r="J80" s="36"/>
      <c r="K80" s="36"/>
      <c r="L80" s="36"/>
      <c r="M80" s="36"/>
    </row>
    <row r="81" spans="1:13" ht="15.2" customHeight="1">
      <c r="A81" s="39"/>
      <c r="B81" s="39"/>
      <c r="C81" s="39"/>
      <c r="D81" s="39"/>
      <c r="E81" s="40"/>
      <c r="F81" s="41" t="s">
        <v>434</v>
      </c>
      <c r="G81" s="41" t="s">
        <v>435</v>
      </c>
      <c r="H81" s="41" t="s">
        <v>436</v>
      </c>
      <c r="I81" s="41" t="s">
        <v>437</v>
      </c>
      <c r="J81" s="41" t="s">
        <v>438</v>
      </c>
      <c r="K81" s="41" t="s">
        <v>439</v>
      </c>
      <c r="L81" s="39"/>
      <c r="M81" s="39"/>
    </row>
    <row r="82" spans="1:13" ht="15.2" customHeight="1">
      <c r="A82" s="39"/>
      <c r="B82" s="39"/>
      <c r="C82" s="39"/>
      <c r="D82" s="42"/>
      <c r="E82" s="43" t="s">
        <v>465</v>
      </c>
      <c r="F82" s="44">
        <v>1</v>
      </c>
      <c r="G82" s="45"/>
      <c r="H82" s="45"/>
      <c r="I82" s="45"/>
      <c r="J82" s="46">
        <f>ROUND(F82,3)</f>
        <v>1</v>
      </c>
      <c r="K82" s="47">
        <f>SUM(J82:J82)</f>
        <v>1</v>
      </c>
      <c r="L82" s="39"/>
      <c r="M82" s="39"/>
    </row>
    <row r="83" spans="1:13" ht="30.6" customHeight="1">
      <c r="A83" s="34" t="s">
        <v>505</v>
      </c>
      <c r="B83" s="35" t="s">
        <v>431</v>
      </c>
      <c r="C83" s="35" t="s">
        <v>56</v>
      </c>
      <c r="D83" s="36" t="s">
        <v>506</v>
      </c>
      <c r="E83" s="36"/>
      <c r="F83" s="36"/>
      <c r="G83" s="36"/>
      <c r="H83" s="36"/>
      <c r="I83" s="36"/>
      <c r="J83" s="36"/>
      <c r="K83" s="37">
        <f>SUM(K86:K86)</f>
        <v>59.8</v>
      </c>
      <c r="L83" s="38">
        <f>L94</f>
        <v>55.76</v>
      </c>
      <c r="M83" s="38">
        <f>ROUND(K83*L83,2)</f>
        <v>3334.45</v>
      </c>
    </row>
    <row r="84" spans="1:13" ht="76.900000000000006" customHeight="1">
      <c r="A84" s="39"/>
      <c r="B84" s="39"/>
      <c r="C84" s="39"/>
      <c r="D84" s="36" t="s">
        <v>507</v>
      </c>
      <c r="E84" s="36"/>
      <c r="F84" s="36"/>
      <c r="G84" s="36"/>
      <c r="H84" s="36"/>
      <c r="I84" s="36"/>
      <c r="J84" s="36"/>
      <c r="K84" s="36"/>
      <c r="L84" s="36"/>
      <c r="M84" s="36"/>
    </row>
    <row r="85" spans="1:13" ht="15.2" customHeight="1">
      <c r="A85" s="39"/>
      <c r="B85" s="39"/>
      <c r="C85" s="39"/>
      <c r="D85" s="39"/>
      <c r="E85" s="40"/>
      <c r="F85" s="41" t="s">
        <v>434</v>
      </c>
      <c r="G85" s="41" t="s">
        <v>435</v>
      </c>
      <c r="H85" s="41" t="s">
        <v>436</v>
      </c>
      <c r="I85" s="41" t="s">
        <v>437</v>
      </c>
      <c r="J85" s="41" t="s">
        <v>438</v>
      </c>
      <c r="K85" s="41" t="s">
        <v>439</v>
      </c>
      <c r="L85" s="39"/>
      <c r="M85" s="39"/>
    </row>
    <row r="86" spans="1:13" ht="39.75" customHeight="1">
      <c r="A86" s="39"/>
      <c r="B86" s="39"/>
      <c r="C86" s="39"/>
      <c r="D86" s="42"/>
      <c r="E86" s="43" t="s">
        <v>508</v>
      </c>
      <c r="F86" s="44">
        <v>2</v>
      </c>
      <c r="G86" s="45">
        <v>26</v>
      </c>
      <c r="H86" s="45">
        <v>1.1499999999999999</v>
      </c>
      <c r="I86" s="45"/>
      <c r="J86" s="46">
        <f>ROUND(F86*G86*H86,3)</f>
        <v>59.8</v>
      </c>
      <c r="K86" s="47">
        <f>SUM(J86:J86)</f>
        <v>59.8</v>
      </c>
      <c r="L86" s="39"/>
      <c r="M86" s="39"/>
    </row>
    <row r="87" spans="1:13" ht="21.4" customHeight="1">
      <c r="A87" s="35" t="s">
        <v>509</v>
      </c>
      <c r="B87" s="35" t="s">
        <v>451</v>
      </c>
      <c r="C87" s="35" t="s">
        <v>422</v>
      </c>
      <c r="D87" s="36" t="s">
        <v>510</v>
      </c>
      <c r="E87" s="36"/>
      <c r="F87" s="36"/>
      <c r="G87" s="36"/>
      <c r="H87" s="36"/>
      <c r="I87" s="36"/>
      <c r="J87" s="36"/>
      <c r="K87" s="37">
        <v>1</v>
      </c>
      <c r="L87" s="37">
        <f>ROUND(1.22,3)</f>
        <v>1.22</v>
      </c>
      <c r="M87" s="38">
        <f t="shared" ref="M87:M92" si="1">ROUND(K87*L87,2)</f>
        <v>1.22</v>
      </c>
    </row>
    <row r="88" spans="1:13" ht="30.6" customHeight="1">
      <c r="A88" s="35" t="s">
        <v>511</v>
      </c>
      <c r="B88" s="35" t="s">
        <v>451</v>
      </c>
      <c r="C88" s="35" t="s">
        <v>56</v>
      </c>
      <c r="D88" s="36" t="s">
        <v>512</v>
      </c>
      <c r="E88" s="36"/>
      <c r="F88" s="36"/>
      <c r="G88" s="36"/>
      <c r="H88" s="36"/>
      <c r="I88" s="36"/>
      <c r="J88" s="36"/>
      <c r="K88" s="37">
        <v>1</v>
      </c>
      <c r="L88" s="37">
        <f>ROUND(30.73,3)</f>
        <v>30.73</v>
      </c>
      <c r="M88" s="38">
        <f t="shared" si="1"/>
        <v>30.73</v>
      </c>
    </row>
    <row r="89" spans="1:13" ht="21.4" customHeight="1">
      <c r="A89" s="35" t="s">
        <v>513</v>
      </c>
      <c r="B89" s="35" t="s">
        <v>451</v>
      </c>
      <c r="C89" s="35" t="s">
        <v>56</v>
      </c>
      <c r="D89" s="36" t="s">
        <v>514</v>
      </c>
      <c r="E89" s="36"/>
      <c r="F89" s="36"/>
      <c r="G89" s="36"/>
      <c r="H89" s="36"/>
      <c r="I89" s="36"/>
      <c r="J89" s="36"/>
      <c r="K89" s="37">
        <v>1</v>
      </c>
      <c r="L89" s="37">
        <f>ROUND(13.92,3)</f>
        <v>13.92</v>
      </c>
      <c r="M89" s="38">
        <f t="shared" si="1"/>
        <v>13.92</v>
      </c>
    </row>
    <row r="90" spans="1:13" ht="15.2" customHeight="1">
      <c r="A90" s="35" t="s">
        <v>515</v>
      </c>
      <c r="B90" s="35" t="s">
        <v>451</v>
      </c>
      <c r="C90" s="35" t="s">
        <v>516</v>
      </c>
      <c r="D90" s="36" t="s">
        <v>517</v>
      </c>
      <c r="E90" s="36"/>
      <c r="F90" s="36"/>
      <c r="G90" s="36"/>
      <c r="H90" s="36"/>
      <c r="I90" s="36"/>
      <c r="J90" s="36"/>
      <c r="K90" s="37">
        <v>0.13700000000000001</v>
      </c>
      <c r="L90" s="37">
        <f>ROUND(11.68,3)</f>
        <v>11.68</v>
      </c>
      <c r="M90" s="38">
        <f t="shared" si="1"/>
        <v>1.6</v>
      </c>
    </row>
    <row r="91" spans="1:13" ht="15.2" customHeight="1">
      <c r="A91" s="35" t="s">
        <v>454</v>
      </c>
      <c r="B91" s="35" t="s">
        <v>455</v>
      </c>
      <c r="C91" s="35" t="s">
        <v>456</v>
      </c>
      <c r="D91" s="36" t="s">
        <v>457</v>
      </c>
      <c r="E91" s="36"/>
      <c r="F91" s="36"/>
      <c r="G91" s="36"/>
      <c r="H91" s="36"/>
      <c r="I91" s="36"/>
      <c r="J91" s="36"/>
      <c r="K91" s="37">
        <v>0.14899999999999999</v>
      </c>
      <c r="L91" s="37">
        <f>ROUND(20.33,3)</f>
        <v>20.329999999999998</v>
      </c>
      <c r="M91" s="38">
        <f t="shared" si="1"/>
        <v>3.03</v>
      </c>
    </row>
    <row r="92" spans="1:13" ht="15.2" customHeight="1">
      <c r="A92" s="35" t="s">
        <v>458</v>
      </c>
      <c r="B92" s="35" t="s">
        <v>455</v>
      </c>
      <c r="C92" s="35" t="s">
        <v>456</v>
      </c>
      <c r="D92" s="36" t="s">
        <v>459</v>
      </c>
      <c r="E92" s="36"/>
      <c r="F92" s="36"/>
      <c r="G92" s="36"/>
      <c r="H92" s="36"/>
      <c r="I92" s="36"/>
      <c r="J92" s="36"/>
      <c r="K92" s="37">
        <v>0.14899999999999999</v>
      </c>
      <c r="L92" s="37">
        <f>ROUND(17.32,3)</f>
        <v>17.32</v>
      </c>
      <c r="M92" s="38">
        <f t="shared" si="1"/>
        <v>2.58</v>
      </c>
    </row>
    <row r="93" spans="1:13" ht="15.2" customHeight="1">
      <c r="A93" s="35" t="s">
        <v>460</v>
      </c>
      <c r="B93" s="35"/>
      <c r="C93" s="35" t="s">
        <v>460</v>
      </c>
      <c r="D93" s="36" t="s">
        <v>461</v>
      </c>
      <c r="E93" s="36"/>
      <c r="F93" s="36"/>
      <c r="G93" s="36"/>
      <c r="H93" s="36"/>
      <c r="I93" s="36"/>
      <c r="J93" s="36"/>
      <c r="K93" s="37">
        <v>2</v>
      </c>
      <c r="L93" s="37">
        <f>ROUND(53.08,3)</f>
        <v>53.08</v>
      </c>
      <c r="M93" s="38">
        <f>ROUND((K93*L93)/100,2)</f>
        <v>1.06</v>
      </c>
    </row>
    <row r="94" spans="1:13" ht="15.4" customHeight="1">
      <c r="A94" s="52"/>
      <c r="B94" s="52"/>
      <c r="C94" s="52"/>
      <c r="D94" s="53" t="s">
        <v>505</v>
      </c>
      <c r="E94" s="52"/>
      <c r="F94" s="52"/>
      <c r="G94" s="52"/>
      <c r="H94" s="52"/>
      <c r="I94" s="52"/>
      <c r="J94" s="52"/>
      <c r="K94" s="54">
        <v>59.8</v>
      </c>
      <c r="L94" s="55">
        <f>ROUND((M87+M88+M89+M90+M91+M92+M93)*(1+M2/100),2)</f>
        <v>55.76</v>
      </c>
      <c r="M94" s="55">
        <f>ROUND(K94*L94,2)</f>
        <v>3334.45</v>
      </c>
    </row>
    <row r="95" spans="1:13" ht="15.4" customHeight="1">
      <c r="A95" s="56" t="s">
        <v>518</v>
      </c>
      <c r="B95" s="57" t="s">
        <v>431</v>
      </c>
      <c r="C95" s="57" t="s">
        <v>3</v>
      </c>
      <c r="D95" s="58" t="s">
        <v>519</v>
      </c>
      <c r="E95" s="58"/>
      <c r="F95" s="58"/>
      <c r="G95" s="58"/>
      <c r="H95" s="58"/>
      <c r="I95" s="58"/>
      <c r="J95" s="58"/>
      <c r="K95" s="59">
        <f>SUM(K98:K98)</f>
        <v>1</v>
      </c>
      <c r="L95" s="60">
        <f>ROUND(5230*(1+M2/100),2)</f>
        <v>5386.9</v>
      </c>
      <c r="M95" s="60">
        <f>ROUND(K95*L95,2)</f>
        <v>5386.9</v>
      </c>
    </row>
    <row r="96" spans="1:13" ht="12.2" customHeight="1">
      <c r="A96" s="39"/>
      <c r="B96" s="39"/>
      <c r="C96" s="39"/>
      <c r="D96" s="36" t="s">
        <v>520</v>
      </c>
      <c r="E96" s="36"/>
      <c r="F96" s="36"/>
      <c r="G96" s="36"/>
      <c r="H96" s="36"/>
      <c r="I96" s="36"/>
      <c r="J96" s="36"/>
      <c r="K96" s="36"/>
      <c r="L96" s="36"/>
      <c r="M96" s="36"/>
    </row>
    <row r="97" spans="1:13" ht="15.2" customHeight="1">
      <c r="A97" s="39"/>
      <c r="B97" s="39"/>
      <c r="C97" s="39"/>
      <c r="D97" s="39"/>
      <c r="E97" s="40"/>
      <c r="F97" s="41" t="s">
        <v>434</v>
      </c>
      <c r="G97" s="41" t="s">
        <v>435</v>
      </c>
      <c r="H97" s="41" t="s">
        <v>436</v>
      </c>
      <c r="I97" s="41" t="s">
        <v>437</v>
      </c>
      <c r="J97" s="41" t="s">
        <v>438</v>
      </c>
      <c r="K97" s="41" t="s">
        <v>439</v>
      </c>
      <c r="L97" s="39"/>
      <c r="M97" s="39"/>
    </row>
    <row r="98" spans="1:13" ht="15.2" customHeight="1">
      <c r="A98" s="39"/>
      <c r="B98" s="39"/>
      <c r="C98" s="39"/>
      <c r="D98" s="42"/>
      <c r="E98" s="43"/>
      <c r="F98" s="44">
        <v>1</v>
      </c>
      <c r="G98" s="45"/>
      <c r="H98" s="45"/>
      <c r="I98" s="45"/>
      <c r="J98" s="46">
        <f>ROUND(F98,3)</f>
        <v>1</v>
      </c>
      <c r="K98" s="47">
        <f>SUM(J98:J98)</f>
        <v>1</v>
      </c>
      <c r="L98" s="39"/>
      <c r="M98" s="39"/>
    </row>
    <row r="99" spans="1:13" ht="15.4" customHeight="1">
      <c r="A99" s="34" t="s">
        <v>521</v>
      </c>
      <c r="B99" s="35" t="s">
        <v>431</v>
      </c>
      <c r="C99" s="35" t="s">
        <v>3</v>
      </c>
      <c r="D99" s="36" t="s">
        <v>522</v>
      </c>
      <c r="E99" s="36"/>
      <c r="F99" s="36"/>
      <c r="G99" s="36"/>
      <c r="H99" s="36"/>
      <c r="I99" s="36"/>
      <c r="J99" s="36"/>
      <c r="K99" s="37">
        <f>SUM(K102:K102)</f>
        <v>1</v>
      </c>
      <c r="L99" s="38">
        <f>L108</f>
        <v>7619.02</v>
      </c>
      <c r="M99" s="38">
        <f>ROUND(K99*L99,2)</f>
        <v>7619.02</v>
      </c>
    </row>
    <row r="100" spans="1:13" ht="21.4" customHeight="1">
      <c r="A100" s="39"/>
      <c r="B100" s="39"/>
      <c r="C100" s="39"/>
      <c r="D100" s="36" t="s">
        <v>523</v>
      </c>
      <c r="E100" s="36"/>
      <c r="F100" s="36"/>
      <c r="G100" s="36"/>
      <c r="H100" s="36"/>
      <c r="I100" s="36"/>
      <c r="J100" s="36"/>
      <c r="K100" s="36"/>
      <c r="L100" s="36"/>
      <c r="M100" s="36"/>
    </row>
    <row r="101" spans="1:13" ht="15.2" customHeight="1">
      <c r="A101" s="39"/>
      <c r="B101" s="39"/>
      <c r="C101" s="39"/>
      <c r="D101" s="39"/>
      <c r="E101" s="40"/>
      <c r="F101" s="41" t="s">
        <v>434</v>
      </c>
      <c r="G101" s="41" t="s">
        <v>435</v>
      </c>
      <c r="H101" s="41" t="s">
        <v>436</v>
      </c>
      <c r="I101" s="41" t="s">
        <v>437</v>
      </c>
      <c r="J101" s="41" t="s">
        <v>438</v>
      </c>
      <c r="K101" s="41" t="s">
        <v>439</v>
      </c>
      <c r="L101" s="39"/>
      <c r="M101" s="39"/>
    </row>
    <row r="102" spans="1:13" ht="15.2" customHeight="1">
      <c r="A102" s="39"/>
      <c r="B102" s="39"/>
      <c r="C102" s="39"/>
      <c r="D102" s="42"/>
      <c r="E102" s="43" t="s">
        <v>482</v>
      </c>
      <c r="F102" s="44">
        <v>1</v>
      </c>
      <c r="G102" s="45"/>
      <c r="H102" s="45"/>
      <c r="I102" s="45"/>
      <c r="J102" s="46">
        <f>ROUND(F102,3)</f>
        <v>1</v>
      </c>
      <c r="K102" s="47">
        <f>SUM(J102:J102)</f>
        <v>1</v>
      </c>
      <c r="L102" s="39"/>
      <c r="M102" s="39"/>
    </row>
    <row r="103" spans="1:13" ht="15.2" customHeight="1">
      <c r="A103" s="35" t="s">
        <v>524</v>
      </c>
      <c r="B103" s="35" t="s">
        <v>525</v>
      </c>
      <c r="C103" s="35" t="s">
        <v>3</v>
      </c>
      <c r="D103" s="36" t="s">
        <v>526</v>
      </c>
      <c r="E103" s="36"/>
      <c r="F103" s="36"/>
      <c r="G103" s="36"/>
      <c r="H103" s="36"/>
      <c r="I103" s="36"/>
      <c r="J103" s="36"/>
      <c r="K103" s="37">
        <v>1</v>
      </c>
      <c r="L103" s="37">
        <f>ROUND(7165,3)</f>
        <v>7165</v>
      </c>
      <c r="M103" s="38">
        <f t="shared" ref="M103:M109" si="2">ROUND(K103*L103,2)</f>
        <v>7165</v>
      </c>
    </row>
    <row r="104" spans="1:13" ht="15.2" customHeight="1">
      <c r="A104" s="35" t="s">
        <v>527</v>
      </c>
      <c r="B104" s="35" t="s">
        <v>455</v>
      </c>
      <c r="C104" s="35" t="s">
        <v>456</v>
      </c>
      <c r="D104" s="36" t="s">
        <v>528</v>
      </c>
      <c r="E104" s="36"/>
      <c r="F104" s="36"/>
      <c r="G104" s="36"/>
      <c r="H104" s="36"/>
      <c r="I104" s="36"/>
      <c r="J104" s="36"/>
      <c r="K104" s="37">
        <v>5</v>
      </c>
      <c r="L104" s="37">
        <f>ROUND(20.33,3)</f>
        <v>20.329999999999998</v>
      </c>
      <c r="M104" s="38">
        <f t="shared" si="2"/>
        <v>101.65</v>
      </c>
    </row>
    <row r="105" spans="1:13" ht="15.2" customHeight="1">
      <c r="A105" s="35" t="s">
        <v>529</v>
      </c>
      <c r="B105" s="35" t="s">
        <v>455</v>
      </c>
      <c r="C105" s="35" t="s">
        <v>456</v>
      </c>
      <c r="D105" s="36" t="s">
        <v>530</v>
      </c>
      <c r="E105" s="36"/>
      <c r="F105" s="36"/>
      <c r="G105" s="36"/>
      <c r="H105" s="36"/>
      <c r="I105" s="36"/>
      <c r="J105" s="36"/>
      <c r="K105" s="37">
        <v>5</v>
      </c>
      <c r="L105" s="37">
        <f>ROUND(17.32,3)</f>
        <v>17.32</v>
      </c>
      <c r="M105" s="38">
        <f t="shared" si="2"/>
        <v>86.6</v>
      </c>
    </row>
    <row r="106" spans="1:13" ht="21.4" customHeight="1">
      <c r="A106" s="35" t="s">
        <v>531</v>
      </c>
      <c r="B106" s="35" t="s">
        <v>451</v>
      </c>
      <c r="C106" s="35" t="s">
        <v>56</v>
      </c>
      <c r="D106" s="36" t="s">
        <v>532</v>
      </c>
      <c r="E106" s="36"/>
      <c r="F106" s="36"/>
      <c r="G106" s="36"/>
      <c r="H106" s="36"/>
      <c r="I106" s="36"/>
      <c r="J106" s="36"/>
      <c r="K106" s="37">
        <v>8</v>
      </c>
      <c r="L106" s="37">
        <f>ROUND(0.4,3)</f>
        <v>0.4</v>
      </c>
      <c r="M106" s="38">
        <f t="shared" si="2"/>
        <v>3.2</v>
      </c>
    </row>
    <row r="107" spans="1:13" ht="15.2" customHeight="1">
      <c r="A107" s="35" t="s">
        <v>493</v>
      </c>
      <c r="B107" s="35" t="s">
        <v>455</v>
      </c>
      <c r="C107" s="35" t="s">
        <v>456</v>
      </c>
      <c r="D107" s="36" t="s">
        <v>494</v>
      </c>
      <c r="E107" s="36"/>
      <c r="F107" s="36"/>
      <c r="G107" s="36"/>
      <c r="H107" s="36"/>
      <c r="I107" s="36"/>
      <c r="J107" s="36"/>
      <c r="K107" s="37">
        <v>2</v>
      </c>
      <c r="L107" s="37">
        <f>ROUND(20.33,3)</f>
        <v>20.329999999999998</v>
      </c>
      <c r="M107" s="38">
        <f t="shared" si="2"/>
        <v>40.659999999999997</v>
      </c>
    </row>
    <row r="108" spans="1:13" ht="15.4" customHeight="1">
      <c r="A108" s="52"/>
      <c r="B108" s="52"/>
      <c r="C108" s="52"/>
      <c r="D108" s="53" t="s">
        <v>521</v>
      </c>
      <c r="E108" s="52"/>
      <c r="F108" s="52"/>
      <c r="G108" s="52"/>
      <c r="H108" s="52"/>
      <c r="I108" s="52"/>
      <c r="J108" s="52"/>
      <c r="K108" s="54">
        <v>1</v>
      </c>
      <c r="L108" s="55">
        <f>ROUND((M103+M104+M105+M106+M107)*(1+M2/100),2)</f>
        <v>7619.02</v>
      </c>
      <c r="M108" s="55">
        <f t="shared" si="2"/>
        <v>7619.02</v>
      </c>
    </row>
    <row r="109" spans="1:13" ht="15.4" customHeight="1">
      <c r="A109" s="56" t="s">
        <v>533</v>
      </c>
      <c r="B109" s="57" t="s">
        <v>431</v>
      </c>
      <c r="C109" s="57" t="s">
        <v>534</v>
      </c>
      <c r="D109" s="58" t="s">
        <v>535</v>
      </c>
      <c r="E109" s="58"/>
      <c r="F109" s="58"/>
      <c r="G109" s="58"/>
      <c r="H109" s="58"/>
      <c r="I109" s="58"/>
      <c r="J109" s="58"/>
      <c r="K109" s="59">
        <f>SUM(K112:K112)</f>
        <v>210</v>
      </c>
      <c r="L109" s="60">
        <f>L120</f>
        <v>6.65</v>
      </c>
      <c r="M109" s="60">
        <f t="shared" si="2"/>
        <v>1396.5</v>
      </c>
    </row>
    <row r="110" spans="1:13" ht="76.900000000000006" customHeight="1">
      <c r="A110" s="39"/>
      <c r="B110" s="39"/>
      <c r="C110" s="39"/>
      <c r="D110" s="36" t="s">
        <v>536</v>
      </c>
      <c r="E110" s="36"/>
      <c r="F110" s="36"/>
      <c r="G110" s="36"/>
      <c r="H110" s="36"/>
      <c r="I110" s="36"/>
      <c r="J110" s="36"/>
      <c r="K110" s="36"/>
      <c r="L110" s="36"/>
      <c r="M110" s="36"/>
    </row>
    <row r="111" spans="1:13" ht="15.2" customHeight="1">
      <c r="A111" s="39"/>
      <c r="B111" s="39"/>
      <c r="C111" s="39"/>
      <c r="D111" s="39"/>
      <c r="E111" s="40"/>
      <c r="F111" s="41" t="s">
        <v>434</v>
      </c>
      <c r="G111" s="41" t="s">
        <v>435</v>
      </c>
      <c r="H111" s="41" t="s">
        <v>436</v>
      </c>
      <c r="I111" s="41" t="s">
        <v>437</v>
      </c>
      <c r="J111" s="41" t="s">
        <v>438</v>
      </c>
      <c r="K111" s="41" t="s">
        <v>439</v>
      </c>
      <c r="L111" s="39"/>
      <c r="M111" s="39"/>
    </row>
    <row r="112" spans="1:13" ht="15.2" customHeight="1">
      <c r="A112" s="39"/>
      <c r="B112" s="39"/>
      <c r="C112" s="39"/>
      <c r="D112" s="42"/>
      <c r="E112" s="43"/>
      <c r="F112" s="44">
        <v>210</v>
      </c>
      <c r="G112" s="45"/>
      <c r="H112" s="45"/>
      <c r="I112" s="45"/>
      <c r="J112" s="46">
        <f>ROUND(F112,3)</f>
        <v>210</v>
      </c>
      <c r="K112" s="47">
        <f>SUM(J112:J112)</f>
        <v>210</v>
      </c>
      <c r="L112" s="39"/>
      <c r="M112" s="39"/>
    </row>
    <row r="113" spans="1:13" ht="15.2" customHeight="1">
      <c r="A113" s="35" t="s">
        <v>537</v>
      </c>
      <c r="B113" s="35" t="s">
        <v>451</v>
      </c>
      <c r="C113" s="35" t="s">
        <v>538</v>
      </c>
      <c r="D113" s="36" t="s">
        <v>539</v>
      </c>
      <c r="E113" s="36"/>
      <c r="F113" s="36"/>
      <c r="G113" s="36"/>
      <c r="H113" s="36"/>
      <c r="I113" s="36"/>
      <c r="J113" s="36"/>
      <c r="K113" s="37">
        <v>1.4999999999999999E-2</v>
      </c>
      <c r="L113" s="37">
        <f>ROUND(78.89,3)</f>
        <v>78.89</v>
      </c>
      <c r="M113" s="38">
        <f t="shared" ref="M113:M118" si="3">ROUND(K113*L113,2)</f>
        <v>1.18</v>
      </c>
    </row>
    <row r="114" spans="1:13" ht="15.2" customHeight="1">
      <c r="A114" s="35" t="s">
        <v>540</v>
      </c>
      <c r="B114" s="35" t="s">
        <v>451</v>
      </c>
      <c r="C114" s="35" t="s">
        <v>538</v>
      </c>
      <c r="D114" s="36" t="s">
        <v>541</v>
      </c>
      <c r="E114" s="36"/>
      <c r="F114" s="36"/>
      <c r="G114" s="36"/>
      <c r="H114" s="36"/>
      <c r="I114" s="36"/>
      <c r="J114" s="36"/>
      <c r="K114" s="37">
        <v>6.0000000000000001E-3</v>
      </c>
      <c r="L114" s="37">
        <f>ROUND(1.5,3)</f>
        <v>1.5</v>
      </c>
      <c r="M114" s="38">
        <f t="shared" si="3"/>
        <v>0.01</v>
      </c>
    </row>
    <row r="115" spans="1:13" ht="21.4" customHeight="1">
      <c r="A115" s="35" t="s">
        <v>542</v>
      </c>
      <c r="B115" s="35" t="s">
        <v>451</v>
      </c>
      <c r="C115" s="35" t="s">
        <v>543</v>
      </c>
      <c r="D115" s="36" t="s">
        <v>544</v>
      </c>
      <c r="E115" s="36"/>
      <c r="F115" s="36"/>
      <c r="G115" s="36"/>
      <c r="H115" s="36"/>
      <c r="I115" s="36"/>
      <c r="J115" s="36"/>
      <c r="K115" s="37">
        <v>1.9E-2</v>
      </c>
      <c r="L115" s="37">
        <f>ROUND(36.25,3)</f>
        <v>36.25</v>
      </c>
      <c r="M115" s="38">
        <f t="shared" si="3"/>
        <v>0.69</v>
      </c>
    </row>
    <row r="116" spans="1:13" ht="15.2" customHeight="1">
      <c r="A116" s="35" t="s">
        <v>545</v>
      </c>
      <c r="B116" s="35" t="s">
        <v>525</v>
      </c>
      <c r="C116" s="35" t="s">
        <v>456</v>
      </c>
      <c r="D116" s="36" t="s">
        <v>546</v>
      </c>
      <c r="E116" s="36"/>
      <c r="F116" s="36"/>
      <c r="G116" s="36"/>
      <c r="H116" s="36"/>
      <c r="I116" s="36"/>
      <c r="J116" s="36"/>
      <c r="K116" s="37">
        <v>5.0000000000000001E-3</v>
      </c>
      <c r="L116" s="37">
        <f>ROUND(25,3)</f>
        <v>25</v>
      </c>
      <c r="M116" s="38">
        <f t="shared" si="3"/>
        <v>0.13</v>
      </c>
    </row>
    <row r="117" spans="1:13" ht="15.2" customHeight="1">
      <c r="A117" s="35" t="s">
        <v>547</v>
      </c>
      <c r="B117" s="35" t="s">
        <v>455</v>
      </c>
      <c r="C117" s="35" t="s">
        <v>456</v>
      </c>
      <c r="D117" s="36" t="s">
        <v>548</v>
      </c>
      <c r="E117" s="36"/>
      <c r="F117" s="36"/>
      <c r="G117" s="36"/>
      <c r="H117" s="36"/>
      <c r="I117" s="36"/>
      <c r="J117" s="36"/>
      <c r="K117" s="37">
        <v>7.0000000000000007E-2</v>
      </c>
      <c r="L117" s="37">
        <f>ROUND(20.09,3)</f>
        <v>20.09</v>
      </c>
      <c r="M117" s="38">
        <f t="shared" si="3"/>
        <v>1.41</v>
      </c>
    </row>
    <row r="118" spans="1:13" ht="15.2" customHeight="1">
      <c r="A118" s="35" t="s">
        <v>549</v>
      </c>
      <c r="B118" s="35" t="s">
        <v>455</v>
      </c>
      <c r="C118" s="35" t="s">
        <v>456</v>
      </c>
      <c r="D118" s="36" t="s">
        <v>550</v>
      </c>
      <c r="E118" s="36"/>
      <c r="F118" s="36"/>
      <c r="G118" s="36"/>
      <c r="H118" s="36"/>
      <c r="I118" s="36"/>
      <c r="J118" s="36"/>
      <c r="K118" s="37">
        <v>0.17599999999999999</v>
      </c>
      <c r="L118" s="37">
        <f>ROUND(15.88,3)</f>
        <v>15.88</v>
      </c>
      <c r="M118" s="38">
        <f t="shared" si="3"/>
        <v>2.79</v>
      </c>
    </row>
    <row r="119" spans="1:13" ht="15.2" customHeight="1">
      <c r="A119" s="35" t="s">
        <v>460</v>
      </c>
      <c r="B119" s="35"/>
      <c r="C119" s="35" t="s">
        <v>460</v>
      </c>
      <c r="D119" s="36" t="s">
        <v>461</v>
      </c>
      <c r="E119" s="36"/>
      <c r="F119" s="36"/>
      <c r="G119" s="36"/>
      <c r="H119" s="36"/>
      <c r="I119" s="36"/>
      <c r="J119" s="36"/>
      <c r="K119" s="37">
        <v>4</v>
      </c>
      <c r="L119" s="37">
        <f>ROUND(6.21,3)</f>
        <v>6.21</v>
      </c>
      <c r="M119" s="38">
        <f>ROUND((K119*L119)/100,2)</f>
        <v>0.25</v>
      </c>
    </row>
    <row r="120" spans="1:13" ht="15.4" customHeight="1">
      <c r="A120" s="52"/>
      <c r="B120" s="52"/>
      <c r="C120" s="52"/>
      <c r="D120" s="53" t="s">
        <v>533</v>
      </c>
      <c r="E120" s="52"/>
      <c r="F120" s="52"/>
      <c r="G120" s="52"/>
      <c r="H120" s="52"/>
      <c r="I120" s="52"/>
      <c r="J120" s="52"/>
      <c r="K120" s="54">
        <v>210</v>
      </c>
      <c r="L120" s="55">
        <f>ROUND((M113+M114+M115+M116+M117+M118+M119)*(1+M2/100),2)</f>
        <v>6.65</v>
      </c>
      <c r="M120" s="55">
        <f>ROUND(K120*L120,2)</f>
        <v>1396.5</v>
      </c>
    </row>
    <row r="121" spans="1:13" ht="15.4" customHeight="1">
      <c r="A121" s="56" t="s">
        <v>551</v>
      </c>
      <c r="B121" s="57" t="s">
        <v>431</v>
      </c>
      <c r="C121" s="57" t="s">
        <v>3</v>
      </c>
      <c r="D121" s="58" t="s">
        <v>552</v>
      </c>
      <c r="E121" s="58"/>
      <c r="F121" s="58"/>
      <c r="G121" s="58"/>
      <c r="H121" s="58"/>
      <c r="I121" s="58"/>
      <c r="J121" s="58"/>
      <c r="K121" s="59">
        <f>SUM(K124:K124)</f>
        <v>95</v>
      </c>
      <c r="L121" s="60">
        <f>ROUND(60*(1+M2/100),2)</f>
        <v>61.8</v>
      </c>
      <c r="M121" s="60">
        <f>ROUND(K121*L121,2)</f>
        <v>5871</v>
      </c>
    </row>
    <row r="122" spans="1:13" ht="12.2" customHeight="1">
      <c r="A122" s="39"/>
      <c r="B122" s="39"/>
      <c r="C122" s="39"/>
      <c r="D122" s="36" t="s">
        <v>552</v>
      </c>
      <c r="E122" s="36"/>
      <c r="F122" s="36"/>
      <c r="G122" s="36"/>
      <c r="H122" s="36"/>
      <c r="I122" s="36"/>
      <c r="J122" s="36"/>
      <c r="K122" s="36"/>
      <c r="L122" s="36"/>
      <c r="M122" s="36"/>
    </row>
    <row r="123" spans="1:13" ht="15.2" customHeight="1">
      <c r="A123" s="39"/>
      <c r="B123" s="39"/>
      <c r="C123" s="39"/>
      <c r="D123" s="39"/>
      <c r="E123" s="40"/>
      <c r="F123" s="41" t="s">
        <v>434</v>
      </c>
      <c r="G123" s="41" t="s">
        <v>435</v>
      </c>
      <c r="H123" s="41" t="s">
        <v>436</v>
      </c>
      <c r="I123" s="41" t="s">
        <v>437</v>
      </c>
      <c r="J123" s="41" t="s">
        <v>438</v>
      </c>
      <c r="K123" s="41" t="s">
        <v>439</v>
      </c>
      <c r="L123" s="39"/>
      <c r="M123" s="39"/>
    </row>
    <row r="124" spans="1:13" ht="15.2" customHeight="1">
      <c r="A124" s="39"/>
      <c r="B124" s="39"/>
      <c r="C124" s="39"/>
      <c r="D124" s="42"/>
      <c r="E124" s="43"/>
      <c r="F124" s="44">
        <v>95</v>
      </c>
      <c r="G124" s="45"/>
      <c r="H124" s="45"/>
      <c r="I124" s="45"/>
      <c r="J124" s="46">
        <f>ROUND(F124,3)</f>
        <v>95</v>
      </c>
      <c r="K124" s="47">
        <f>SUM(J124:J124)</f>
        <v>95</v>
      </c>
      <c r="L124" s="39"/>
      <c r="M124" s="39"/>
    </row>
    <row r="125" spans="1:13" ht="15.4" customHeight="1">
      <c r="A125" s="34" t="s">
        <v>553</v>
      </c>
      <c r="B125" s="35" t="s">
        <v>431</v>
      </c>
      <c r="C125" s="35" t="s">
        <v>3</v>
      </c>
      <c r="D125" s="36" t="s">
        <v>554</v>
      </c>
      <c r="E125" s="36"/>
      <c r="F125" s="36"/>
      <c r="G125" s="36"/>
      <c r="H125" s="36"/>
      <c r="I125" s="36"/>
      <c r="J125" s="36"/>
      <c r="K125" s="37">
        <f>SUM(K128:K128)</f>
        <v>1</v>
      </c>
      <c r="L125" s="38">
        <f>ROUND(2165*(1+M2/100),2)</f>
        <v>2229.9499999999998</v>
      </c>
      <c r="M125" s="38">
        <f>ROUND(K125*L125,2)</f>
        <v>2229.9499999999998</v>
      </c>
    </row>
    <row r="126" spans="1:13" ht="12.2" customHeight="1">
      <c r="A126" s="39"/>
      <c r="B126" s="39"/>
      <c r="C126" s="39"/>
      <c r="D126" s="36" t="s">
        <v>554</v>
      </c>
      <c r="E126" s="36"/>
      <c r="F126" s="36"/>
      <c r="G126" s="36"/>
      <c r="H126" s="36"/>
      <c r="I126" s="36"/>
      <c r="J126" s="36"/>
      <c r="K126" s="36"/>
      <c r="L126" s="36"/>
      <c r="M126" s="36"/>
    </row>
    <row r="127" spans="1:13" ht="15.2" customHeight="1">
      <c r="A127" s="39"/>
      <c r="B127" s="39"/>
      <c r="C127" s="39"/>
      <c r="D127" s="39"/>
      <c r="E127" s="40"/>
      <c r="F127" s="41" t="s">
        <v>434</v>
      </c>
      <c r="G127" s="41" t="s">
        <v>435</v>
      </c>
      <c r="H127" s="41" t="s">
        <v>436</v>
      </c>
      <c r="I127" s="41" t="s">
        <v>437</v>
      </c>
      <c r="J127" s="41" t="s">
        <v>438</v>
      </c>
      <c r="K127" s="41" t="s">
        <v>439</v>
      </c>
      <c r="L127" s="39"/>
      <c r="M127" s="39"/>
    </row>
    <row r="128" spans="1:13" ht="15.2" customHeight="1">
      <c r="A128" s="39"/>
      <c r="B128" s="39"/>
      <c r="C128" s="39"/>
      <c r="D128" s="42"/>
      <c r="E128" s="43"/>
      <c r="F128" s="44">
        <v>1</v>
      </c>
      <c r="G128" s="45"/>
      <c r="H128" s="45"/>
      <c r="I128" s="45"/>
      <c r="J128" s="46">
        <f>ROUND(F128,3)</f>
        <v>1</v>
      </c>
      <c r="K128" s="47">
        <f>SUM(J128:J128)</f>
        <v>1</v>
      </c>
      <c r="L128" s="39"/>
      <c r="M128" s="39"/>
    </row>
    <row r="129" spans="1:13" ht="15.4" customHeight="1">
      <c r="A129" s="52"/>
      <c r="B129" s="52"/>
      <c r="C129" s="52"/>
      <c r="D129" s="61" t="s">
        <v>14</v>
      </c>
      <c r="E129" s="62"/>
      <c r="F129" s="62"/>
      <c r="G129" s="62"/>
      <c r="H129" s="62"/>
      <c r="I129" s="62"/>
      <c r="J129" s="62"/>
      <c r="K129" s="62"/>
      <c r="L129" s="63">
        <f>M6+M10+M15+M25+M35+M46+M56+M69+M79+M83+M95+M99+M109+M121+M125</f>
        <v>31476.360000000004</v>
      </c>
      <c r="M129" s="63">
        <f>ROUND(L129,2)</f>
        <v>31476.36</v>
      </c>
    </row>
    <row r="130" spans="1:13" ht="15.4" customHeight="1">
      <c r="A130" s="64" t="s">
        <v>99</v>
      </c>
      <c r="B130" s="64" t="s">
        <v>428</v>
      </c>
      <c r="C130" s="65"/>
      <c r="D130" s="66" t="s">
        <v>555</v>
      </c>
      <c r="E130" s="66"/>
      <c r="F130" s="66"/>
      <c r="G130" s="66"/>
      <c r="H130" s="66"/>
      <c r="I130" s="66"/>
      <c r="J130" s="66"/>
      <c r="K130" s="65"/>
      <c r="L130" s="67">
        <f>L507</f>
        <v>176073.67</v>
      </c>
      <c r="M130" s="67">
        <f>ROUND(L130,2)</f>
        <v>176073.67</v>
      </c>
    </row>
    <row r="131" spans="1:13" ht="15.4" customHeight="1">
      <c r="A131" s="68" t="s">
        <v>556</v>
      </c>
      <c r="B131" s="68" t="s">
        <v>428</v>
      </c>
      <c r="C131" s="69"/>
      <c r="D131" s="70" t="s">
        <v>557</v>
      </c>
      <c r="E131" s="70"/>
      <c r="F131" s="70"/>
      <c r="G131" s="70"/>
      <c r="H131" s="70"/>
      <c r="I131" s="70"/>
      <c r="J131" s="70"/>
      <c r="K131" s="69"/>
      <c r="L131" s="71">
        <f>L248</f>
        <v>51610.48000000001</v>
      </c>
      <c r="M131" s="71">
        <f>ROUND(L131,2)</f>
        <v>51610.48</v>
      </c>
    </row>
    <row r="132" spans="1:13" ht="39.75" customHeight="1">
      <c r="A132" s="34" t="s">
        <v>558</v>
      </c>
      <c r="B132" s="35" t="s">
        <v>431</v>
      </c>
      <c r="C132" s="35" t="s">
        <v>56</v>
      </c>
      <c r="D132" s="36" t="s">
        <v>559</v>
      </c>
      <c r="E132" s="36"/>
      <c r="F132" s="36"/>
      <c r="G132" s="36"/>
      <c r="H132" s="36"/>
      <c r="I132" s="36"/>
      <c r="J132" s="36"/>
      <c r="K132" s="37">
        <f>SUM(K135:K135)</f>
        <v>71.483999999999995</v>
      </c>
      <c r="L132" s="38">
        <f>L143</f>
        <v>21.35</v>
      </c>
      <c r="M132" s="38">
        <f>ROUND(K132*L132,2)</f>
        <v>1526.18</v>
      </c>
    </row>
    <row r="133" spans="1:13" ht="76.900000000000006" customHeight="1">
      <c r="A133" s="39"/>
      <c r="B133" s="39"/>
      <c r="C133" s="39"/>
      <c r="D133" s="36" t="s">
        <v>560</v>
      </c>
      <c r="E133" s="36"/>
      <c r="F133" s="36"/>
      <c r="G133" s="36"/>
      <c r="H133" s="36"/>
      <c r="I133" s="36"/>
      <c r="J133" s="36"/>
      <c r="K133" s="36"/>
      <c r="L133" s="36"/>
      <c r="M133" s="36"/>
    </row>
    <row r="134" spans="1:13" ht="15.2" customHeight="1">
      <c r="A134" s="39"/>
      <c r="B134" s="39"/>
      <c r="C134" s="39"/>
      <c r="D134" s="39"/>
      <c r="E134" s="40"/>
      <c r="F134" s="41" t="s">
        <v>434</v>
      </c>
      <c r="G134" s="41" t="s">
        <v>435</v>
      </c>
      <c r="H134" s="41" t="s">
        <v>436</v>
      </c>
      <c r="I134" s="41" t="s">
        <v>437</v>
      </c>
      <c r="J134" s="41" t="s">
        <v>438</v>
      </c>
      <c r="K134" s="41" t="s">
        <v>439</v>
      </c>
      <c r="L134" s="39"/>
      <c r="M134" s="39"/>
    </row>
    <row r="135" spans="1:13" ht="21.4" customHeight="1">
      <c r="A135" s="39"/>
      <c r="B135" s="39"/>
      <c r="C135" s="39"/>
      <c r="D135" s="42"/>
      <c r="E135" s="43" t="s">
        <v>561</v>
      </c>
      <c r="F135" s="44">
        <v>2</v>
      </c>
      <c r="G135" s="45">
        <v>34.04</v>
      </c>
      <c r="H135" s="45">
        <v>1.05</v>
      </c>
      <c r="I135" s="45"/>
      <c r="J135" s="46">
        <f>ROUND(F135*G135*H135,3)</f>
        <v>71.483999999999995</v>
      </c>
      <c r="K135" s="47">
        <f>SUM(J135:J135)</f>
        <v>71.483999999999995</v>
      </c>
      <c r="L135" s="39"/>
      <c r="M135" s="39"/>
    </row>
    <row r="136" spans="1:13" ht="21.4" customHeight="1">
      <c r="A136" s="35" t="s">
        <v>562</v>
      </c>
      <c r="B136" s="35" t="s">
        <v>451</v>
      </c>
      <c r="C136" s="35" t="s">
        <v>422</v>
      </c>
      <c r="D136" s="36" t="s">
        <v>563</v>
      </c>
      <c r="E136" s="36"/>
      <c r="F136" s="36"/>
      <c r="G136" s="36"/>
      <c r="H136" s="36"/>
      <c r="I136" s="36"/>
      <c r="J136" s="36"/>
      <c r="K136" s="37">
        <v>1</v>
      </c>
      <c r="L136" s="37">
        <f>ROUND(0.27,3)</f>
        <v>0.27</v>
      </c>
      <c r="M136" s="38">
        <f t="shared" ref="M136:M141" si="4">ROUND(K136*L136,2)</f>
        <v>0.27</v>
      </c>
    </row>
    <row r="137" spans="1:13" ht="30.6" customHeight="1">
      <c r="A137" s="35" t="s">
        <v>564</v>
      </c>
      <c r="B137" s="35" t="s">
        <v>451</v>
      </c>
      <c r="C137" s="35" t="s">
        <v>56</v>
      </c>
      <c r="D137" s="36" t="s">
        <v>565</v>
      </c>
      <c r="E137" s="36"/>
      <c r="F137" s="36"/>
      <c r="G137" s="36"/>
      <c r="H137" s="36"/>
      <c r="I137" s="36"/>
      <c r="J137" s="36"/>
      <c r="K137" s="37">
        <v>1</v>
      </c>
      <c r="L137" s="37">
        <f>ROUND(6.6,3)</f>
        <v>6.6</v>
      </c>
      <c r="M137" s="38">
        <f t="shared" si="4"/>
        <v>6.6</v>
      </c>
    </row>
    <row r="138" spans="1:13" ht="21.4" customHeight="1">
      <c r="A138" s="35" t="s">
        <v>566</v>
      </c>
      <c r="B138" s="35" t="s">
        <v>451</v>
      </c>
      <c r="C138" s="35" t="s">
        <v>56</v>
      </c>
      <c r="D138" s="36" t="s">
        <v>567</v>
      </c>
      <c r="E138" s="36"/>
      <c r="F138" s="36"/>
      <c r="G138" s="36"/>
      <c r="H138" s="36"/>
      <c r="I138" s="36"/>
      <c r="J138" s="36"/>
      <c r="K138" s="37">
        <v>1</v>
      </c>
      <c r="L138" s="37">
        <f>ROUND(7.84,3)</f>
        <v>7.84</v>
      </c>
      <c r="M138" s="38">
        <f t="shared" si="4"/>
        <v>7.84</v>
      </c>
    </row>
    <row r="139" spans="1:13" ht="15.2" customHeight="1">
      <c r="A139" s="35" t="s">
        <v>515</v>
      </c>
      <c r="B139" s="35" t="s">
        <v>451</v>
      </c>
      <c r="C139" s="35" t="s">
        <v>516</v>
      </c>
      <c r="D139" s="36" t="s">
        <v>517</v>
      </c>
      <c r="E139" s="36"/>
      <c r="F139" s="36"/>
      <c r="G139" s="36"/>
      <c r="H139" s="36"/>
      <c r="I139" s="36"/>
      <c r="J139" s="36"/>
      <c r="K139" s="37">
        <v>5.5E-2</v>
      </c>
      <c r="L139" s="37">
        <f>ROUND(11.68,3)</f>
        <v>11.68</v>
      </c>
      <c r="M139" s="38">
        <f t="shared" si="4"/>
        <v>0.64</v>
      </c>
    </row>
    <row r="140" spans="1:13" ht="15.2" customHeight="1">
      <c r="A140" s="35" t="s">
        <v>454</v>
      </c>
      <c r="B140" s="35" t="s">
        <v>455</v>
      </c>
      <c r="C140" s="35" t="s">
        <v>456</v>
      </c>
      <c r="D140" s="36" t="s">
        <v>457</v>
      </c>
      <c r="E140" s="36"/>
      <c r="F140" s="36"/>
      <c r="G140" s="36"/>
      <c r="H140" s="36"/>
      <c r="I140" s="36"/>
      <c r="J140" s="36"/>
      <c r="K140" s="37">
        <v>0.13200000000000001</v>
      </c>
      <c r="L140" s="37">
        <f>ROUND(20.33,3)</f>
        <v>20.329999999999998</v>
      </c>
      <c r="M140" s="38">
        <f t="shared" si="4"/>
        <v>2.68</v>
      </c>
    </row>
    <row r="141" spans="1:13" ht="15.2" customHeight="1">
      <c r="A141" s="35" t="s">
        <v>458</v>
      </c>
      <c r="B141" s="35" t="s">
        <v>455</v>
      </c>
      <c r="C141" s="35" t="s">
        <v>456</v>
      </c>
      <c r="D141" s="36" t="s">
        <v>459</v>
      </c>
      <c r="E141" s="36"/>
      <c r="F141" s="36"/>
      <c r="G141" s="36"/>
      <c r="H141" s="36"/>
      <c r="I141" s="36"/>
      <c r="J141" s="36"/>
      <c r="K141" s="37">
        <v>0.13200000000000001</v>
      </c>
      <c r="L141" s="37">
        <f>ROUND(17.32,3)</f>
        <v>17.32</v>
      </c>
      <c r="M141" s="38">
        <f t="shared" si="4"/>
        <v>2.29</v>
      </c>
    </row>
    <row r="142" spans="1:13" ht="15.2" customHeight="1">
      <c r="A142" s="35" t="s">
        <v>460</v>
      </c>
      <c r="B142" s="35"/>
      <c r="C142" s="35" t="s">
        <v>460</v>
      </c>
      <c r="D142" s="36" t="s">
        <v>461</v>
      </c>
      <c r="E142" s="36"/>
      <c r="F142" s="36"/>
      <c r="G142" s="36"/>
      <c r="H142" s="36"/>
      <c r="I142" s="36"/>
      <c r="J142" s="36"/>
      <c r="K142" s="37">
        <v>2</v>
      </c>
      <c r="L142" s="37">
        <f>ROUND(20.32,3)</f>
        <v>20.32</v>
      </c>
      <c r="M142" s="38">
        <f>ROUND((K142*L142)/100,2)</f>
        <v>0.41</v>
      </c>
    </row>
    <row r="143" spans="1:13" ht="15.4" customHeight="1">
      <c r="A143" s="52"/>
      <c r="B143" s="52"/>
      <c r="C143" s="52"/>
      <c r="D143" s="53" t="s">
        <v>558</v>
      </c>
      <c r="E143" s="52"/>
      <c r="F143" s="52"/>
      <c r="G143" s="52"/>
      <c r="H143" s="52"/>
      <c r="I143" s="52"/>
      <c r="J143" s="52"/>
      <c r="K143" s="54">
        <v>71.483999999999995</v>
      </c>
      <c r="L143" s="55">
        <f>ROUND((M136+M137+M138+M139+M140+M141+M142)*(1+M2/100),2)</f>
        <v>21.35</v>
      </c>
      <c r="M143" s="55">
        <f>ROUND(K143*L143,2)</f>
        <v>1526.18</v>
      </c>
    </row>
    <row r="144" spans="1:13" ht="39.75" customHeight="1">
      <c r="A144" s="56" t="s">
        <v>568</v>
      </c>
      <c r="B144" s="57" t="s">
        <v>431</v>
      </c>
      <c r="C144" s="57" t="s">
        <v>56</v>
      </c>
      <c r="D144" s="58" t="s">
        <v>569</v>
      </c>
      <c r="E144" s="58"/>
      <c r="F144" s="58"/>
      <c r="G144" s="58"/>
      <c r="H144" s="58"/>
      <c r="I144" s="58"/>
      <c r="J144" s="58"/>
      <c r="K144" s="59">
        <f>SUM(K147:K147)</f>
        <v>108.864</v>
      </c>
      <c r="L144" s="60">
        <f>L155</f>
        <v>32.51</v>
      </c>
      <c r="M144" s="60">
        <f>ROUND(K144*L144,2)</f>
        <v>3539.17</v>
      </c>
    </row>
    <row r="145" spans="1:13" ht="76.900000000000006" customHeight="1">
      <c r="A145" s="39"/>
      <c r="B145" s="39"/>
      <c r="C145" s="39"/>
      <c r="D145" s="36" t="s">
        <v>570</v>
      </c>
      <c r="E145" s="36"/>
      <c r="F145" s="36"/>
      <c r="G145" s="36"/>
      <c r="H145" s="36"/>
      <c r="I145" s="36"/>
      <c r="J145" s="36"/>
      <c r="K145" s="36"/>
      <c r="L145" s="36"/>
      <c r="M145" s="36"/>
    </row>
    <row r="146" spans="1:13" ht="15.2" customHeight="1">
      <c r="A146" s="39"/>
      <c r="B146" s="39"/>
      <c r="C146" s="39"/>
      <c r="D146" s="39"/>
      <c r="E146" s="40"/>
      <c r="F146" s="41" t="s">
        <v>434</v>
      </c>
      <c r="G146" s="41" t="s">
        <v>435</v>
      </c>
      <c r="H146" s="41" t="s">
        <v>436</v>
      </c>
      <c r="I146" s="41" t="s">
        <v>437</v>
      </c>
      <c r="J146" s="41" t="s">
        <v>438</v>
      </c>
      <c r="K146" s="41" t="s">
        <v>439</v>
      </c>
      <c r="L146" s="39"/>
      <c r="M146" s="39"/>
    </row>
    <row r="147" spans="1:13" ht="30.6" customHeight="1">
      <c r="A147" s="39"/>
      <c r="B147" s="39"/>
      <c r="C147" s="39"/>
      <c r="D147" s="42"/>
      <c r="E147" s="43" t="s">
        <v>571</v>
      </c>
      <c r="F147" s="44">
        <v>2</v>
      </c>
      <c r="G147" s="45">
        <v>51.84</v>
      </c>
      <c r="H147" s="45">
        <v>1.05</v>
      </c>
      <c r="I147" s="45"/>
      <c r="J147" s="46">
        <f>ROUND(F147*G147*H147,3)</f>
        <v>108.864</v>
      </c>
      <c r="K147" s="47">
        <f>SUM(J147:J147)</f>
        <v>108.864</v>
      </c>
      <c r="L147" s="39"/>
      <c r="M147" s="39"/>
    </row>
    <row r="148" spans="1:13" ht="21.4" customHeight="1">
      <c r="A148" s="35" t="s">
        <v>572</v>
      </c>
      <c r="B148" s="35" t="s">
        <v>451</v>
      </c>
      <c r="C148" s="35" t="s">
        <v>422</v>
      </c>
      <c r="D148" s="36" t="s">
        <v>573</v>
      </c>
      <c r="E148" s="36"/>
      <c r="F148" s="36"/>
      <c r="G148" s="36"/>
      <c r="H148" s="36"/>
      <c r="I148" s="36"/>
      <c r="J148" s="36"/>
      <c r="K148" s="37">
        <v>1</v>
      </c>
      <c r="L148" s="37">
        <f>ROUND(0.48,3)</f>
        <v>0.48</v>
      </c>
      <c r="M148" s="38">
        <f t="shared" ref="M148:M153" si="5">ROUND(K148*L148,2)</f>
        <v>0.48</v>
      </c>
    </row>
    <row r="149" spans="1:13" ht="30.6" customHeight="1">
      <c r="A149" s="35" t="s">
        <v>574</v>
      </c>
      <c r="B149" s="35" t="s">
        <v>451</v>
      </c>
      <c r="C149" s="35" t="s">
        <v>56</v>
      </c>
      <c r="D149" s="36" t="s">
        <v>575</v>
      </c>
      <c r="E149" s="36"/>
      <c r="F149" s="36"/>
      <c r="G149" s="36"/>
      <c r="H149" s="36"/>
      <c r="I149" s="36"/>
      <c r="J149" s="36"/>
      <c r="K149" s="37">
        <v>1</v>
      </c>
      <c r="L149" s="37">
        <f>ROUND(11.58,3)</f>
        <v>11.58</v>
      </c>
      <c r="M149" s="38">
        <f t="shared" si="5"/>
        <v>11.58</v>
      </c>
    </row>
    <row r="150" spans="1:13" ht="21.4" customHeight="1">
      <c r="A150" s="35" t="s">
        <v>576</v>
      </c>
      <c r="B150" s="35" t="s">
        <v>451</v>
      </c>
      <c r="C150" s="35" t="s">
        <v>56</v>
      </c>
      <c r="D150" s="36" t="s">
        <v>577</v>
      </c>
      <c r="E150" s="36"/>
      <c r="F150" s="36"/>
      <c r="G150" s="36"/>
      <c r="H150" s="36"/>
      <c r="I150" s="36"/>
      <c r="J150" s="36"/>
      <c r="K150" s="37">
        <v>1</v>
      </c>
      <c r="L150" s="37">
        <f>ROUND(13.13,3)</f>
        <v>13.13</v>
      </c>
      <c r="M150" s="38">
        <f t="shared" si="5"/>
        <v>13.13</v>
      </c>
    </row>
    <row r="151" spans="1:13" ht="15.2" customHeight="1">
      <c r="A151" s="35" t="s">
        <v>515</v>
      </c>
      <c r="B151" s="35" t="s">
        <v>451</v>
      </c>
      <c r="C151" s="35" t="s">
        <v>516</v>
      </c>
      <c r="D151" s="36" t="s">
        <v>517</v>
      </c>
      <c r="E151" s="36"/>
      <c r="F151" s="36"/>
      <c r="G151" s="36"/>
      <c r="H151" s="36"/>
      <c r="I151" s="36"/>
      <c r="J151" s="36"/>
      <c r="K151" s="37">
        <v>6.7000000000000004E-2</v>
      </c>
      <c r="L151" s="37">
        <f>ROUND(11.68,3)</f>
        <v>11.68</v>
      </c>
      <c r="M151" s="38">
        <f t="shared" si="5"/>
        <v>0.78</v>
      </c>
    </row>
    <row r="152" spans="1:13" ht="15.2" customHeight="1">
      <c r="A152" s="35" t="s">
        <v>454</v>
      </c>
      <c r="B152" s="35" t="s">
        <v>455</v>
      </c>
      <c r="C152" s="35" t="s">
        <v>456</v>
      </c>
      <c r="D152" s="36" t="s">
        <v>457</v>
      </c>
      <c r="E152" s="36"/>
      <c r="F152" s="36"/>
      <c r="G152" s="36"/>
      <c r="H152" s="36"/>
      <c r="I152" s="36"/>
      <c r="J152" s="36"/>
      <c r="K152" s="37">
        <v>0.13200000000000001</v>
      </c>
      <c r="L152" s="37">
        <f>ROUND(20.33,3)</f>
        <v>20.329999999999998</v>
      </c>
      <c r="M152" s="38">
        <f t="shared" si="5"/>
        <v>2.68</v>
      </c>
    </row>
    <row r="153" spans="1:13" ht="15.2" customHeight="1">
      <c r="A153" s="35" t="s">
        <v>458</v>
      </c>
      <c r="B153" s="35" t="s">
        <v>455</v>
      </c>
      <c r="C153" s="35" t="s">
        <v>456</v>
      </c>
      <c r="D153" s="36" t="s">
        <v>459</v>
      </c>
      <c r="E153" s="36"/>
      <c r="F153" s="36"/>
      <c r="G153" s="36"/>
      <c r="H153" s="36"/>
      <c r="I153" s="36"/>
      <c r="J153" s="36"/>
      <c r="K153" s="37">
        <v>0.13200000000000001</v>
      </c>
      <c r="L153" s="37">
        <f>ROUND(17.32,3)</f>
        <v>17.32</v>
      </c>
      <c r="M153" s="38">
        <f t="shared" si="5"/>
        <v>2.29</v>
      </c>
    </row>
    <row r="154" spans="1:13" ht="15.2" customHeight="1">
      <c r="A154" s="35" t="s">
        <v>460</v>
      </c>
      <c r="B154" s="35"/>
      <c r="C154" s="35" t="s">
        <v>460</v>
      </c>
      <c r="D154" s="36" t="s">
        <v>461</v>
      </c>
      <c r="E154" s="36"/>
      <c r="F154" s="36"/>
      <c r="G154" s="36"/>
      <c r="H154" s="36"/>
      <c r="I154" s="36"/>
      <c r="J154" s="36"/>
      <c r="K154" s="37">
        <v>2</v>
      </c>
      <c r="L154" s="37">
        <f>ROUND(30.94,3)</f>
        <v>30.94</v>
      </c>
      <c r="M154" s="38">
        <f>ROUND((K154*L154)/100,2)</f>
        <v>0.62</v>
      </c>
    </row>
    <row r="155" spans="1:13" ht="15.4" customHeight="1">
      <c r="A155" s="52"/>
      <c r="B155" s="52"/>
      <c r="C155" s="52"/>
      <c r="D155" s="53" t="s">
        <v>568</v>
      </c>
      <c r="E155" s="52"/>
      <c r="F155" s="52"/>
      <c r="G155" s="52"/>
      <c r="H155" s="52"/>
      <c r="I155" s="52"/>
      <c r="J155" s="52"/>
      <c r="K155" s="54">
        <v>108.864</v>
      </c>
      <c r="L155" s="55">
        <f>ROUND((M148+M149+M150+M151+M152+M153+M154)*(1+M2/100),2)</f>
        <v>32.51</v>
      </c>
      <c r="M155" s="55">
        <f>ROUND(K155*L155,2)</f>
        <v>3539.17</v>
      </c>
    </row>
    <row r="156" spans="1:13" ht="15.4" customHeight="1">
      <c r="A156" s="56" t="s">
        <v>578</v>
      </c>
      <c r="B156" s="57" t="s">
        <v>431</v>
      </c>
      <c r="C156" s="57" t="s">
        <v>422</v>
      </c>
      <c r="D156" s="58" t="s">
        <v>579</v>
      </c>
      <c r="E156" s="58"/>
      <c r="F156" s="58"/>
      <c r="G156" s="58"/>
      <c r="H156" s="58"/>
      <c r="I156" s="58"/>
      <c r="J156" s="58"/>
      <c r="K156" s="59">
        <f>SUM(K159:K160)</f>
        <v>4</v>
      </c>
      <c r="L156" s="60">
        <f>L166</f>
        <v>27.24</v>
      </c>
      <c r="M156" s="60">
        <f>ROUND(K156*L156,2)</f>
        <v>108.96</v>
      </c>
    </row>
    <row r="157" spans="1:13" ht="49.15" customHeight="1">
      <c r="A157" s="39"/>
      <c r="B157" s="39"/>
      <c r="C157" s="39"/>
      <c r="D157" s="36" t="s">
        <v>580</v>
      </c>
      <c r="E157" s="36"/>
      <c r="F157" s="36"/>
      <c r="G157" s="36"/>
      <c r="H157" s="36"/>
      <c r="I157" s="36"/>
      <c r="J157" s="36"/>
      <c r="K157" s="36"/>
      <c r="L157" s="36"/>
      <c r="M157" s="36"/>
    </row>
    <row r="158" spans="1:13" ht="15.2" customHeight="1">
      <c r="A158" s="39"/>
      <c r="B158" s="39"/>
      <c r="C158" s="39"/>
      <c r="D158" s="39"/>
      <c r="E158" s="40"/>
      <c r="F158" s="41" t="s">
        <v>434</v>
      </c>
      <c r="G158" s="41" t="s">
        <v>435</v>
      </c>
      <c r="H158" s="41" t="s">
        <v>436</v>
      </c>
      <c r="I158" s="41" t="s">
        <v>437</v>
      </c>
      <c r="J158" s="41" t="s">
        <v>438</v>
      </c>
      <c r="K158" s="41" t="s">
        <v>439</v>
      </c>
      <c r="L158" s="39"/>
      <c r="M158" s="39"/>
    </row>
    <row r="159" spans="1:13" ht="30.6" customHeight="1">
      <c r="A159" s="39"/>
      <c r="B159" s="39"/>
      <c r="C159" s="39"/>
      <c r="D159" s="42"/>
      <c r="E159" s="43" t="s">
        <v>581</v>
      </c>
      <c r="F159" s="44">
        <v>2</v>
      </c>
      <c r="G159" s="45"/>
      <c r="H159" s="45"/>
      <c r="I159" s="45"/>
      <c r="J159" s="46">
        <f>ROUND(F159,3)</f>
        <v>2</v>
      </c>
      <c r="K159" s="48"/>
      <c r="L159" s="39"/>
      <c r="M159" s="39"/>
    </row>
    <row r="160" spans="1:13" ht="30.6" customHeight="1">
      <c r="A160" s="39"/>
      <c r="B160" s="39"/>
      <c r="C160" s="39"/>
      <c r="D160" s="42"/>
      <c r="E160" s="35" t="s">
        <v>582</v>
      </c>
      <c r="F160" s="49">
        <v>2</v>
      </c>
      <c r="G160" s="37"/>
      <c r="H160" s="37"/>
      <c r="I160" s="37"/>
      <c r="J160" s="50">
        <f>ROUND(F160,3)</f>
        <v>2</v>
      </c>
      <c r="K160" s="51">
        <f>SUM(J159:J160)</f>
        <v>4</v>
      </c>
      <c r="L160" s="39"/>
      <c r="M160" s="39"/>
    </row>
    <row r="161" spans="1:13" ht="15.2" customHeight="1">
      <c r="A161" s="35" t="s">
        <v>583</v>
      </c>
      <c r="B161" s="35" t="s">
        <v>451</v>
      </c>
      <c r="C161" s="35" t="s">
        <v>422</v>
      </c>
      <c r="D161" s="36" t="s">
        <v>579</v>
      </c>
      <c r="E161" s="36"/>
      <c r="F161" s="36"/>
      <c r="G161" s="36"/>
      <c r="H161" s="36"/>
      <c r="I161" s="36"/>
      <c r="J161" s="36"/>
      <c r="K161" s="37">
        <v>1</v>
      </c>
      <c r="L161" s="37">
        <f>ROUND(21.57,3)</f>
        <v>21.57</v>
      </c>
      <c r="M161" s="38">
        <f>ROUND(K161*L161,2)</f>
        <v>21.57</v>
      </c>
    </row>
    <row r="162" spans="1:13" ht="15.2" customHeight="1">
      <c r="A162" s="35" t="s">
        <v>452</v>
      </c>
      <c r="B162" s="35" t="s">
        <v>451</v>
      </c>
      <c r="C162" s="35" t="s">
        <v>422</v>
      </c>
      <c r="D162" s="36" t="s">
        <v>453</v>
      </c>
      <c r="E162" s="36"/>
      <c r="F162" s="36"/>
      <c r="G162" s="36"/>
      <c r="H162" s="36"/>
      <c r="I162" s="36"/>
      <c r="J162" s="36"/>
      <c r="K162" s="37">
        <v>0.1</v>
      </c>
      <c r="L162" s="37">
        <f>ROUND(2.1,3)</f>
        <v>2.1</v>
      </c>
      <c r="M162" s="38">
        <f>ROUND(K162*L162,2)</f>
        <v>0.21</v>
      </c>
    </row>
    <row r="163" spans="1:13" ht="15.2" customHeight="1">
      <c r="A163" s="35" t="s">
        <v>454</v>
      </c>
      <c r="B163" s="35" t="s">
        <v>455</v>
      </c>
      <c r="C163" s="35" t="s">
        <v>456</v>
      </c>
      <c r="D163" s="36" t="s">
        <v>457</v>
      </c>
      <c r="E163" s="36"/>
      <c r="F163" s="36"/>
      <c r="G163" s="36"/>
      <c r="H163" s="36"/>
      <c r="I163" s="36"/>
      <c r="J163" s="36"/>
      <c r="K163" s="37">
        <v>0.11</v>
      </c>
      <c r="L163" s="37">
        <f>ROUND(20.33,3)</f>
        <v>20.329999999999998</v>
      </c>
      <c r="M163" s="38">
        <f>ROUND(K163*L163,2)</f>
        <v>2.2400000000000002</v>
      </c>
    </row>
    <row r="164" spans="1:13" ht="15.2" customHeight="1">
      <c r="A164" s="35" t="s">
        <v>458</v>
      </c>
      <c r="B164" s="35" t="s">
        <v>455</v>
      </c>
      <c r="C164" s="35" t="s">
        <v>456</v>
      </c>
      <c r="D164" s="36" t="s">
        <v>459</v>
      </c>
      <c r="E164" s="36"/>
      <c r="F164" s="36"/>
      <c r="G164" s="36"/>
      <c r="H164" s="36"/>
      <c r="I164" s="36"/>
      <c r="J164" s="36"/>
      <c r="K164" s="37">
        <v>0.11</v>
      </c>
      <c r="L164" s="37">
        <f>ROUND(17.32,3)</f>
        <v>17.32</v>
      </c>
      <c r="M164" s="38">
        <f>ROUND(K164*L164,2)</f>
        <v>1.91</v>
      </c>
    </row>
    <row r="165" spans="1:13" ht="15.2" customHeight="1">
      <c r="A165" s="35" t="s">
        <v>460</v>
      </c>
      <c r="B165" s="35"/>
      <c r="C165" s="35" t="s">
        <v>460</v>
      </c>
      <c r="D165" s="36" t="s">
        <v>461</v>
      </c>
      <c r="E165" s="36"/>
      <c r="F165" s="36"/>
      <c r="G165" s="36"/>
      <c r="H165" s="36"/>
      <c r="I165" s="36"/>
      <c r="J165" s="36"/>
      <c r="K165" s="37">
        <v>2</v>
      </c>
      <c r="L165" s="37">
        <f>ROUND(25.93,3)</f>
        <v>25.93</v>
      </c>
      <c r="M165" s="38">
        <f>ROUND((K165*L165)/100,2)</f>
        <v>0.52</v>
      </c>
    </row>
    <row r="166" spans="1:13" ht="15.4" customHeight="1">
      <c r="A166" s="52"/>
      <c r="B166" s="52"/>
      <c r="C166" s="52"/>
      <c r="D166" s="53" t="s">
        <v>578</v>
      </c>
      <c r="E166" s="52"/>
      <c r="F166" s="52"/>
      <c r="G166" s="52"/>
      <c r="H166" s="52"/>
      <c r="I166" s="52"/>
      <c r="J166" s="52"/>
      <c r="K166" s="54">
        <v>4</v>
      </c>
      <c r="L166" s="55">
        <f>ROUND((M161+M162+M163+M164+M165)*(1+M2/100),2)</f>
        <v>27.24</v>
      </c>
      <c r="M166" s="55">
        <f>ROUND(K166*L166,2)</f>
        <v>108.96</v>
      </c>
    </row>
    <row r="167" spans="1:13" ht="15.4" customHeight="1">
      <c r="A167" s="56" t="s">
        <v>584</v>
      </c>
      <c r="B167" s="57" t="s">
        <v>431</v>
      </c>
      <c r="C167" s="57" t="s">
        <v>3</v>
      </c>
      <c r="D167" s="58" t="s">
        <v>585</v>
      </c>
      <c r="E167" s="58"/>
      <c r="F167" s="58"/>
      <c r="G167" s="58"/>
      <c r="H167" s="58"/>
      <c r="I167" s="58"/>
      <c r="J167" s="58"/>
      <c r="K167" s="59">
        <f>SUM(K170:K170)</f>
        <v>2</v>
      </c>
      <c r="L167" s="60">
        <f>ROUND(385*(1+M2/100),2)</f>
        <v>396.55</v>
      </c>
      <c r="M167" s="60">
        <f>ROUND(K167*L167,2)</f>
        <v>793.1</v>
      </c>
    </row>
    <row r="168" spans="1:13" ht="12.2" customHeight="1">
      <c r="A168" s="39"/>
      <c r="B168" s="39"/>
      <c r="C168" s="39"/>
      <c r="D168" s="36" t="s">
        <v>586</v>
      </c>
      <c r="E168" s="36"/>
      <c r="F168" s="36"/>
      <c r="G168" s="36"/>
      <c r="H168" s="36"/>
      <c r="I168" s="36"/>
      <c r="J168" s="36"/>
      <c r="K168" s="36"/>
      <c r="L168" s="36"/>
      <c r="M168" s="36"/>
    </row>
    <row r="169" spans="1:13" ht="15.2" customHeight="1">
      <c r="A169" s="39"/>
      <c r="B169" s="39"/>
      <c r="C169" s="39"/>
      <c r="D169" s="39"/>
      <c r="E169" s="40"/>
      <c r="F169" s="41" t="s">
        <v>434</v>
      </c>
      <c r="G169" s="41" t="s">
        <v>435</v>
      </c>
      <c r="H169" s="41" t="s">
        <v>436</v>
      </c>
      <c r="I169" s="41" t="s">
        <v>437</v>
      </c>
      <c r="J169" s="41" t="s">
        <v>438</v>
      </c>
      <c r="K169" s="41" t="s">
        <v>439</v>
      </c>
      <c r="L169" s="39"/>
      <c r="M169" s="39"/>
    </row>
    <row r="170" spans="1:13" ht="21.4" customHeight="1">
      <c r="A170" s="39"/>
      <c r="B170" s="39"/>
      <c r="C170" s="39"/>
      <c r="D170" s="42"/>
      <c r="E170" s="43" t="s">
        <v>587</v>
      </c>
      <c r="F170" s="44">
        <v>2</v>
      </c>
      <c r="G170" s="45"/>
      <c r="H170" s="45"/>
      <c r="I170" s="45"/>
      <c r="J170" s="46">
        <f>ROUND(F170,3)</f>
        <v>2</v>
      </c>
      <c r="K170" s="47">
        <f>SUM(J170:J170)</f>
        <v>2</v>
      </c>
      <c r="L170" s="39"/>
      <c r="M170" s="39"/>
    </row>
    <row r="171" spans="1:13" ht="15.4" customHeight="1">
      <c r="A171" s="34" t="s">
        <v>588</v>
      </c>
      <c r="B171" s="35" t="s">
        <v>431</v>
      </c>
      <c r="C171" s="35" t="s">
        <v>3</v>
      </c>
      <c r="D171" s="36" t="s">
        <v>589</v>
      </c>
      <c r="E171" s="36"/>
      <c r="F171" s="36"/>
      <c r="G171" s="36"/>
      <c r="H171" s="36"/>
      <c r="I171" s="36"/>
      <c r="J171" s="36"/>
      <c r="K171" s="37">
        <f>SUM(K174:K175)</f>
        <v>2</v>
      </c>
      <c r="L171" s="38">
        <f>L181</f>
        <v>1229.6199999999999</v>
      </c>
      <c r="M171" s="38">
        <f>ROUND(K171*L171,2)</f>
        <v>2459.2399999999998</v>
      </c>
    </row>
    <row r="172" spans="1:13" ht="12.2" customHeight="1">
      <c r="A172" s="39"/>
      <c r="B172" s="39"/>
      <c r="C172" s="39"/>
      <c r="D172" s="36" t="s">
        <v>590</v>
      </c>
      <c r="E172" s="36"/>
      <c r="F172" s="36"/>
      <c r="G172" s="36"/>
      <c r="H172" s="36"/>
      <c r="I172" s="36"/>
      <c r="J172" s="36"/>
      <c r="K172" s="36"/>
      <c r="L172" s="36"/>
      <c r="M172" s="36"/>
    </row>
    <row r="173" spans="1:13" ht="15.2" customHeight="1">
      <c r="A173" s="39"/>
      <c r="B173" s="39"/>
      <c r="C173" s="39"/>
      <c r="D173" s="39"/>
      <c r="E173" s="40"/>
      <c r="F173" s="41" t="s">
        <v>434</v>
      </c>
      <c r="G173" s="41" t="s">
        <v>435</v>
      </c>
      <c r="H173" s="41" t="s">
        <v>436</v>
      </c>
      <c r="I173" s="41" t="s">
        <v>437</v>
      </c>
      <c r="J173" s="41" t="s">
        <v>438</v>
      </c>
      <c r="K173" s="41" t="s">
        <v>439</v>
      </c>
      <c r="L173" s="39"/>
      <c r="M173" s="39"/>
    </row>
    <row r="174" spans="1:13" ht="15.2" customHeight="1">
      <c r="A174" s="39"/>
      <c r="B174" s="39"/>
      <c r="C174" s="39"/>
      <c r="D174" s="42"/>
      <c r="E174" s="43" t="s">
        <v>591</v>
      </c>
      <c r="F174" s="44">
        <v>1</v>
      </c>
      <c r="G174" s="45"/>
      <c r="H174" s="45"/>
      <c r="I174" s="45"/>
      <c r="J174" s="46">
        <f>ROUND(F174,3)</f>
        <v>1</v>
      </c>
      <c r="K174" s="48"/>
      <c r="L174" s="39"/>
      <c r="M174" s="39"/>
    </row>
    <row r="175" spans="1:13" ht="15.2" customHeight="1">
      <c r="A175" s="39"/>
      <c r="B175" s="39"/>
      <c r="C175" s="39"/>
      <c r="D175" s="42"/>
      <c r="E175" s="35" t="s">
        <v>592</v>
      </c>
      <c r="F175" s="49">
        <v>1</v>
      </c>
      <c r="G175" s="37"/>
      <c r="H175" s="37"/>
      <c r="I175" s="37"/>
      <c r="J175" s="50">
        <f>ROUND(F175,3)</f>
        <v>1</v>
      </c>
      <c r="K175" s="51">
        <f>SUM(J174:J175)</f>
        <v>2</v>
      </c>
      <c r="L175" s="39"/>
      <c r="M175" s="39"/>
    </row>
    <row r="176" spans="1:13" ht="15.2" customHeight="1">
      <c r="A176" s="35" t="s">
        <v>529</v>
      </c>
      <c r="B176" s="35" t="s">
        <v>455</v>
      </c>
      <c r="C176" s="35" t="s">
        <v>456</v>
      </c>
      <c r="D176" s="36" t="s">
        <v>530</v>
      </c>
      <c r="E176" s="36"/>
      <c r="F176" s="36"/>
      <c r="G176" s="36"/>
      <c r="H176" s="36"/>
      <c r="I176" s="36"/>
      <c r="J176" s="36"/>
      <c r="K176" s="37">
        <v>3</v>
      </c>
      <c r="L176" s="37">
        <f>ROUND(17.32,3)</f>
        <v>17.32</v>
      </c>
      <c r="M176" s="38">
        <f t="shared" ref="M176:M182" si="6">ROUND(K176*L176,2)</f>
        <v>51.96</v>
      </c>
    </row>
    <row r="177" spans="1:13" ht="15.2" customHeight="1">
      <c r="A177" s="35" t="s">
        <v>527</v>
      </c>
      <c r="B177" s="35" t="s">
        <v>455</v>
      </c>
      <c r="C177" s="35" t="s">
        <v>456</v>
      </c>
      <c r="D177" s="36" t="s">
        <v>528</v>
      </c>
      <c r="E177" s="36"/>
      <c r="F177" s="36"/>
      <c r="G177" s="36"/>
      <c r="H177" s="36"/>
      <c r="I177" s="36"/>
      <c r="J177" s="36"/>
      <c r="K177" s="37">
        <v>3</v>
      </c>
      <c r="L177" s="37">
        <f>ROUND(20.33,3)</f>
        <v>20.329999999999998</v>
      </c>
      <c r="M177" s="38">
        <f t="shared" si="6"/>
        <v>60.99</v>
      </c>
    </row>
    <row r="178" spans="1:13" ht="21.4" customHeight="1">
      <c r="A178" s="35" t="s">
        <v>531</v>
      </c>
      <c r="B178" s="35" t="s">
        <v>451</v>
      </c>
      <c r="C178" s="35" t="s">
        <v>56</v>
      </c>
      <c r="D178" s="36" t="s">
        <v>532</v>
      </c>
      <c r="E178" s="36"/>
      <c r="F178" s="36"/>
      <c r="G178" s="36"/>
      <c r="H178" s="36"/>
      <c r="I178" s="36"/>
      <c r="J178" s="36"/>
      <c r="K178" s="37">
        <v>3</v>
      </c>
      <c r="L178" s="37">
        <f>ROUND(0.4,3)</f>
        <v>0.4</v>
      </c>
      <c r="M178" s="38">
        <f t="shared" si="6"/>
        <v>1.2</v>
      </c>
    </row>
    <row r="179" spans="1:13" ht="15.2" customHeight="1">
      <c r="A179" s="35" t="s">
        <v>593</v>
      </c>
      <c r="B179" s="35" t="s">
        <v>451</v>
      </c>
      <c r="C179" s="35" t="s">
        <v>422</v>
      </c>
      <c r="D179" s="36" t="s">
        <v>594</v>
      </c>
      <c r="E179" s="36"/>
      <c r="F179" s="36"/>
      <c r="G179" s="36"/>
      <c r="H179" s="36"/>
      <c r="I179" s="36"/>
      <c r="J179" s="36"/>
      <c r="K179" s="37">
        <v>1</v>
      </c>
      <c r="L179" s="37">
        <f>ROUND(1039,3)</f>
        <v>1039</v>
      </c>
      <c r="M179" s="38">
        <f t="shared" si="6"/>
        <v>1039</v>
      </c>
    </row>
    <row r="180" spans="1:13" ht="15.2" customHeight="1">
      <c r="A180" s="35" t="s">
        <v>493</v>
      </c>
      <c r="B180" s="35" t="s">
        <v>455</v>
      </c>
      <c r="C180" s="35" t="s">
        <v>456</v>
      </c>
      <c r="D180" s="36" t="s">
        <v>494</v>
      </c>
      <c r="E180" s="36"/>
      <c r="F180" s="36"/>
      <c r="G180" s="36"/>
      <c r="H180" s="36"/>
      <c r="I180" s="36"/>
      <c r="J180" s="36"/>
      <c r="K180" s="37">
        <v>2</v>
      </c>
      <c r="L180" s="37">
        <f>ROUND(20.33,3)</f>
        <v>20.329999999999998</v>
      </c>
      <c r="M180" s="38">
        <f t="shared" si="6"/>
        <v>40.659999999999997</v>
      </c>
    </row>
    <row r="181" spans="1:13" ht="15.4" customHeight="1">
      <c r="A181" s="52"/>
      <c r="B181" s="52"/>
      <c r="C181" s="52"/>
      <c r="D181" s="53" t="s">
        <v>588</v>
      </c>
      <c r="E181" s="52"/>
      <c r="F181" s="52"/>
      <c r="G181" s="52"/>
      <c r="H181" s="52"/>
      <c r="I181" s="52"/>
      <c r="J181" s="52"/>
      <c r="K181" s="54">
        <v>2</v>
      </c>
      <c r="L181" s="55">
        <f>ROUND((M176+M177+M178+M179+M180)*(1+M2/100),2)</f>
        <v>1229.6199999999999</v>
      </c>
      <c r="M181" s="55">
        <f t="shared" si="6"/>
        <v>2459.2399999999998</v>
      </c>
    </row>
    <row r="182" spans="1:13" ht="15.4" customHeight="1">
      <c r="A182" s="56" t="s">
        <v>595</v>
      </c>
      <c r="B182" s="57" t="s">
        <v>431</v>
      </c>
      <c r="C182" s="57" t="s">
        <v>534</v>
      </c>
      <c r="D182" s="58" t="s">
        <v>535</v>
      </c>
      <c r="E182" s="58"/>
      <c r="F182" s="58"/>
      <c r="G182" s="58"/>
      <c r="H182" s="58"/>
      <c r="I182" s="58"/>
      <c r="J182" s="58"/>
      <c r="K182" s="59">
        <f>SUM(K185:K185)</f>
        <v>210</v>
      </c>
      <c r="L182" s="60">
        <f>L193</f>
        <v>6.65</v>
      </c>
      <c r="M182" s="60">
        <f t="shared" si="6"/>
        <v>1396.5</v>
      </c>
    </row>
    <row r="183" spans="1:13" ht="76.900000000000006" customHeight="1">
      <c r="A183" s="39"/>
      <c r="B183" s="39"/>
      <c r="C183" s="39"/>
      <c r="D183" s="36" t="s">
        <v>536</v>
      </c>
      <c r="E183" s="36"/>
      <c r="F183" s="36"/>
      <c r="G183" s="36"/>
      <c r="H183" s="36"/>
      <c r="I183" s="36"/>
      <c r="J183" s="36"/>
      <c r="K183" s="36"/>
      <c r="L183" s="36"/>
      <c r="M183" s="36"/>
    </row>
    <row r="184" spans="1:13" ht="15.2" customHeight="1">
      <c r="A184" s="39"/>
      <c r="B184" s="39"/>
      <c r="C184" s="39"/>
      <c r="D184" s="39"/>
      <c r="E184" s="40"/>
      <c r="F184" s="41" t="s">
        <v>434</v>
      </c>
      <c r="G184" s="41" t="s">
        <v>435</v>
      </c>
      <c r="H184" s="41" t="s">
        <v>436</v>
      </c>
      <c r="I184" s="41" t="s">
        <v>437</v>
      </c>
      <c r="J184" s="41" t="s">
        <v>438</v>
      </c>
      <c r="K184" s="41" t="s">
        <v>439</v>
      </c>
      <c r="L184" s="39"/>
      <c r="M184" s="39"/>
    </row>
    <row r="185" spans="1:13" ht="15.2" customHeight="1">
      <c r="A185" s="39"/>
      <c r="B185" s="39"/>
      <c r="C185" s="39"/>
      <c r="D185" s="42"/>
      <c r="E185" s="43"/>
      <c r="F185" s="44">
        <v>210</v>
      </c>
      <c r="G185" s="45"/>
      <c r="H185" s="45"/>
      <c r="I185" s="45"/>
      <c r="J185" s="46">
        <f>ROUND(F185,3)</f>
        <v>210</v>
      </c>
      <c r="K185" s="47">
        <f>SUM(J185:J185)</f>
        <v>210</v>
      </c>
      <c r="L185" s="39"/>
      <c r="M185" s="39"/>
    </row>
    <row r="186" spans="1:13" ht="15.2" customHeight="1">
      <c r="A186" s="35" t="s">
        <v>537</v>
      </c>
      <c r="B186" s="35" t="s">
        <v>451</v>
      </c>
      <c r="C186" s="35" t="s">
        <v>538</v>
      </c>
      <c r="D186" s="36" t="s">
        <v>539</v>
      </c>
      <c r="E186" s="36"/>
      <c r="F186" s="36"/>
      <c r="G186" s="36"/>
      <c r="H186" s="36"/>
      <c r="I186" s="36"/>
      <c r="J186" s="36"/>
      <c r="K186" s="37">
        <v>1.4999999999999999E-2</v>
      </c>
      <c r="L186" s="37">
        <f>ROUND(78.89,3)</f>
        <v>78.89</v>
      </c>
      <c r="M186" s="38">
        <f t="shared" ref="M186:M191" si="7">ROUND(K186*L186,2)</f>
        <v>1.18</v>
      </c>
    </row>
    <row r="187" spans="1:13" ht="15.2" customHeight="1">
      <c r="A187" s="35" t="s">
        <v>540</v>
      </c>
      <c r="B187" s="35" t="s">
        <v>451</v>
      </c>
      <c r="C187" s="35" t="s">
        <v>538</v>
      </c>
      <c r="D187" s="36" t="s">
        <v>541</v>
      </c>
      <c r="E187" s="36"/>
      <c r="F187" s="36"/>
      <c r="G187" s="36"/>
      <c r="H187" s="36"/>
      <c r="I187" s="36"/>
      <c r="J187" s="36"/>
      <c r="K187" s="37">
        <v>6.0000000000000001E-3</v>
      </c>
      <c r="L187" s="37">
        <f>ROUND(1.5,3)</f>
        <v>1.5</v>
      </c>
      <c r="M187" s="38">
        <f t="shared" si="7"/>
        <v>0.01</v>
      </c>
    </row>
    <row r="188" spans="1:13" ht="21.4" customHeight="1">
      <c r="A188" s="35" t="s">
        <v>542</v>
      </c>
      <c r="B188" s="35" t="s">
        <v>451</v>
      </c>
      <c r="C188" s="35" t="s">
        <v>543</v>
      </c>
      <c r="D188" s="36" t="s">
        <v>544</v>
      </c>
      <c r="E188" s="36"/>
      <c r="F188" s="36"/>
      <c r="G188" s="36"/>
      <c r="H188" s="36"/>
      <c r="I188" s="36"/>
      <c r="J188" s="36"/>
      <c r="K188" s="37">
        <v>1.9E-2</v>
      </c>
      <c r="L188" s="37">
        <f>ROUND(36.25,3)</f>
        <v>36.25</v>
      </c>
      <c r="M188" s="38">
        <f t="shared" si="7"/>
        <v>0.69</v>
      </c>
    </row>
    <row r="189" spans="1:13" ht="15.2" customHeight="1">
      <c r="A189" s="35" t="s">
        <v>545</v>
      </c>
      <c r="B189" s="35" t="s">
        <v>525</v>
      </c>
      <c r="C189" s="35" t="s">
        <v>456</v>
      </c>
      <c r="D189" s="36" t="s">
        <v>546</v>
      </c>
      <c r="E189" s="36"/>
      <c r="F189" s="36"/>
      <c r="G189" s="36"/>
      <c r="H189" s="36"/>
      <c r="I189" s="36"/>
      <c r="J189" s="36"/>
      <c r="K189" s="37">
        <v>5.0000000000000001E-3</v>
      </c>
      <c r="L189" s="37">
        <f>ROUND(25,3)</f>
        <v>25</v>
      </c>
      <c r="M189" s="38">
        <f t="shared" si="7"/>
        <v>0.13</v>
      </c>
    </row>
    <row r="190" spans="1:13" ht="15.2" customHeight="1">
      <c r="A190" s="35" t="s">
        <v>547</v>
      </c>
      <c r="B190" s="35" t="s">
        <v>455</v>
      </c>
      <c r="C190" s="35" t="s">
        <v>456</v>
      </c>
      <c r="D190" s="36" t="s">
        <v>548</v>
      </c>
      <c r="E190" s="36"/>
      <c r="F190" s="36"/>
      <c r="G190" s="36"/>
      <c r="H190" s="36"/>
      <c r="I190" s="36"/>
      <c r="J190" s="36"/>
      <c r="K190" s="37">
        <v>7.0000000000000007E-2</v>
      </c>
      <c r="L190" s="37">
        <f>ROUND(20.09,3)</f>
        <v>20.09</v>
      </c>
      <c r="M190" s="38">
        <f t="shared" si="7"/>
        <v>1.41</v>
      </c>
    </row>
    <row r="191" spans="1:13" ht="15.2" customHeight="1">
      <c r="A191" s="35" t="s">
        <v>549</v>
      </c>
      <c r="B191" s="35" t="s">
        <v>455</v>
      </c>
      <c r="C191" s="35" t="s">
        <v>456</v>
      </c>
      <c r="D191" s="36" t="s">
        <v>550</v>
      </c>
      <c r="E191" s="36"/>
      <c r="F191" s="36"/>
      <c r="G191" s="36"/>
      <c r="H191" s="36"/>
      <c r="I191" s="36"/>
      <c r="J191" s="36"/>
      <c r="K191" s="37">
        <v>0.17599999999999999</v>
      </c>
      <c r="L191" s="37">
        <f>ROUND(15.88,3)</f>
        <v>15.88</v>
      </c>
      <c r="M191" s="38">
        <f t="shared" si="7"/>
        <v>2.79</v>
      </c>
    </row>
    <row r="192" spans="1:13" ht="15.2" customHeight="1">
      <c r="A192" s="35" t="s">
        <v>460</v>
      </c>
      <c r="B192" s="35"/>
      <c r="C192" s="35" t="s">
        <v>460</v>
      </c>
      <c r="D192" s="36" t="s">
        <v>461</v>
      </c>
      <c r="E192" s="36"/>
      <c r="F192" s="36"/>
      <c r="G192" s="36"/>
      <c r="H192" s="36"/>
      <c r="I192" s="36"/>
      <c r="J192" s="36"/>
      <c r="K192" s="37">
        <v>4</v>
      </c>
      <c r="L192" s="37">
        <f>ROUND(6.21,3)</f>
        <v>6.21</v>
      </c>
      <c r="M192" s="38">
        <f>ROUND((K192*L192)/100,2)</f>
        <v>0.25</v>
      </c>
    </row>
    <row r="193" spans="1:13" ht="15.4" customHeight="1">
      <c r="A193" s="52"/>
      <c r="B193" s="52"/>
      <c r="C193" s="52"/>
      <c r="D193" s="53" t="s">
        <v>595</v>
      </c>
      <c r="E193" s="52"/>
      <c r="F193" s="52"/>
      <c r="G193" s="52"/>
      <c r="H193" s="52"/>
      <c r="I193" s="52"/>
      <c r="J193" s="52"/>
      <c r="K193" s="54">
        <v>210</v>
      </c>
      <c r="L193" s="55">
        <f>ROUND((M186+M187+M188+M189+M190+M191+M192)*(1+M2/100),2)</f>
        <v>6.65</v>
      </c>
      <c r="M193" s="55">
        <f>ROUND(K193*L193,2)</f>
        <v>1396.5</v>
      </c>
    </row>
    <row r="194" spans="1:13" ht="15.4" customHeight="1">
      <c r="A194" s="56" t="s">
        <v>596</v>
      </c>
      <c r="B194" s="57" t="s">
        <v>431</v>
      </c>
      <c r="C194" s="57" t="s">
        <v>3</v>
      </c>
      <c r="D194" s="58" t="s">
        <v>597</v>
      </c>
      <c r="E194" s="58"/>
      <c r="F194" s="58"/>
      <c r="G194" s="58"/>
      <c r="H194" s="58"/>
      <c r="I194" s="58"/>
      <c r="J194" s="58"/>
      <c r="K194" s="59">
        <f>SUM(K197:K197)</f>
        <v>2</v>
      </c>
      <c r="L194" s="60">
        <f>ROUND(560*(1+M2/100),2)</f>
        <v>576.79999999999995</v>
      </c>
      <c r="M194" s="60">
        <f>ROUND(K194*L194,2)</f>
        <v>1153.5999999999999</v>
      </c>
    </row>
    <row r="195" spans="1:13" ht="12.2" customHeight="1">
      <c r="A195" s="39"/>
      <c r="B195" s="39"/>
      <c r="C195" s="39"/>
      <c r="D195" s="36" t="s">
        <v>597</v>
      </c>
      <c r="E195" s="36"/>
      <c r="F195" s="36"/>
      <c r="G195" s="36"/>
      <c r="H195" s="36"/>
      <c r="I195" s="36"/>
      <c r="J195" s="36"/>
      <c r="K195" s="36"/>
      <c r="L195" s="36"/>
      <c r="M195" s="36"/>
    </row>
    <row r="196" spans="1:13" ht="15.2" customHeight="1">
      <c r="A196" s="39"/>
      <c r="B196" s="39"/>
      <c r="C196" s="39"/>
      <c r="D196" s="39"/>
      <c r="E196" s="40"/>
      <c r="F196" s="41" t="s">
        <v>434</v>
      </c>
      <c r="G196" s="41" t="s">
        <v>435</v>
      </c>
      <c r="H196" s="41" t="s">
        <v>436</v>
      </c>
      <c r="I196" s="41" t="s">
        <v>437</v>
      </c>
      <c r="J196" s="41" t="s">
        <v>438</v>
      </c>
      <c r="K196" s="41" t="s">
        <v>439</v>
      </c>
      <c r="L196" s="39"/>
      <c r="M196" s="39"/>
    </row>
    <row r="197" spans="1:13" ht="15.2" customHeight="1">
      <c r="A197" s="39"/>
      <c r="B197" s="39"/>
      <c r="C197" s="39"/>
      <c r="D197" s="42"/>
      <c r="E197" s="43"/>
      <c r="F197" s="44">
        <v>2</v>
      </c>
      <c r="G197" s="45"/>
      <c r="H197" s="45"/>
      <c r="I197" s="45"/>
      <c r="J197" s="46">
        <f>ROUND(F197,3)</f>
        <v>2</v>
      </c>
      <c r="K197" s="47">
        <f>SUM(J197:J197)</f>
        <v>2</v>
      </c>
      <c r="L197" s="39"/>
      <c r="M197" s="39"/>
    </row>
    <row r="198" spans="1:13" ht="30.6" customHeight="1">
      <c r="A198" s="34" t="s">
        <v>598</v>
      </c>
      <c r="B198" s="35" t="s">
        <v>431</v>
      </c>
      <c r="C198" s="35" t="s">
        <v>56</v>
      </c>
      <c r="D198" s="36" t="s">
        <v>599</v>
      </c>
      <c r="E198" s="36"/>
      <c r="F198" s="36"/>
      <c r="G198" s="36"/>
      <c r="H198" s="36"/>
      <c r="I198" s="36"/>
      <c r="J198" s="36"/>
      <c r="K198" s="37">
        <f>SUM(K201:K201)</f>
        <v>108.864</v>
      </c>
      <c r="L198" s="38">
        <f>L207</f>
        <v>42.23</v>
      </c>
      <c r="M198" s="38">
        <f>ROUND(K198*L198,2)</f>
        <v>4597.33</v>
      </c>
    </row>
    <row r="199" spans="1:13" ht="58.35" customHeight="1">
      <c r="A199" s="39"/>
      <c r="B199" s="39"/>
      <c r="C199" s="39"/>
      <c r="D199" s="36" t="s">
        <v>600</v>
      </c>
      <c r="E199" s="36"/>
      <c r="F199" s="36"/>
      <c r="G199" s="36"/>
      <c r="H199" s="36"/>
      <c r="I199" s="36"/>
      <c r="J199" s="36"/>
      <c r="K199" s="36"/>
      <c r="L199" s="36"/>
      <c r="M199" s="36"/>
    </row>
    <row r="200" spans="1:13" ht="15.2" customHeight="1">
      <c r="A200" s="39"/>
      <c r="B200" s="39"/>
      <c r="C200" s="39"/>
      <c r="D200" s="39"/>
      <c r="E200" s="40"/>
      <c r="F200" s="41" t="s">
        <v>434</v>
      </c>
      <c r="G200" s="41" t="s">
        <v>435</v>
      </c>
      <c r="H200" s="41" t="s">
        <v>436</v>
      </c>
      <c r="I200" s="41" t="s">
        <v>437</v>
      </c>
      <c r="J200" s="41" t="s">
        <v>438</v>
      </c>
      <c r="K200" s="41" t="s">
        <v>439</v>
      </c>
      <c r="L200" s="39"/>
      <c r="M200" s="39"/>
    </row>
    <row r="201" spans="1:13" ht="15.2" customHeight="1">
      <c r="A201" s="39"/>
      <c r="B201" s="39"/>
      <c r="C201" s="39"/>
      <c r="D201" s="42"/>
      <c r="E201" s="43"/>
      <c r="F201" s="44">
        <v>108.864</v>
      </c>
      <c r="G201" s="45"/>
      <c r="H201" s="45"/>
      <c r="I201" s="45"/>
      <c r="J201" s="46">
        <f>ROUND(F201,3)</f>
        <v>108.864</v>
      </c>
      <c r="K201" s="47">
        <f>SUM(J201:J201)</f>
        <v>108.864</v>
      </c>
      <c r="L201" s="39"/>
      <c r="M201" s="39"/>
    </row>
    <row r="202" spans="1:13" ht="21.4" customHeight="1">
      <c r="A202" s="35" t="s">
        <v>601</v>
      </c>
      <c r="B202" s="35" t="s">
        <v>451</v>
      </c>
      <c r="C202" s="35" t="s">
        <v>56</v>
      </c>
      <c r="D202" s="36" t="s">
        <v>602</v>
      </c>
      <c r="E202" s="36"/>
      <c r="F202" s="36"/>
      <c r="G202" s="36"/>
      <c r="H202" s="36"/>
      <c r="I202" s="36"/>
      <c r="J202" s="36"/>
      <c r="K202" s="37">
        <v>1.05</v>
      </c>
      <c r="L202" s="37">
        <f>ROUND(33.08,3)</f>
        <v>33.08</v>
      </c>
      <c r="M202" s="38">
        <f>ROUND(K202*L202,2)</f>
        <v>34.729999999999997</v>
      </c>
    </row>
    <row r="203" spans="1:13" ht="15.2" customHeight="1">
      <c r="A203" s="35" t="s">
        <v>515</v>
      </c>
      <c r="B203" s="35" t="s">
        <v>451</v>
      </c>
      <c r="C203" s="35" t="s">
        <v>516</v>
      </c>
      <c r="D203" s="36" t="s">
        <v>517</v>
      </c>
      <c r="E203" s="36"/>
      <c r="F203" s="36"/>
      <c r="G203" s="36"/>
      <c r="H203" s="36"/>
      <c r="I203" s="36"/>
      <c r="J203" s="36"/>
      <c r="K203" s="37">
        <v>0.05</v>
      </c>
      <c r="L203" s="37">
        <f>ROUND(11.68,3)</f>
        <v>11.68</v>
      </c>
      <c r="M203" s="38">
        <f>ROUND(K203*L203,2)</f>
        <v>0.57999999999999996</v>
      </c>
    </row>
    <row r="204" spans="1:13" ht="15.2" customHeight="1">
      <c r="A204" s="35" t="s">
        <v>603</v>
      </c>
      <c r="B204" s="35" t="s">
        <v>455</v>
      </c>
      <c r="C204" s="35" t="s">
        <v>456</v>
      </c>
      <c r="D204" s="36" t="s">
        <v>604</v>
      </c>
      <c r="E204" s="36"/>
      <c r="F204" s="36"/>
      <c r="G204" s="36"/>
      <c r="H204" s="36"/>
      <c r="I204" s="36"/>
      <c r="J204" s="36"/>
      <c r="K204" s="37">
        <v>0.13</v>
      </c>
      <c r="L204" s="37">
        <f>ROUND(20.33,3)</f>
        <v>20.329999999999998</v>
      </c>
      <c r="M204" s="38">
        <f>ROUND(K204*L204,2)</f>
        <v>2.64</v>
      </c>
    </row>
    <row r="205" spans="1:13" ht="15.2" customHeight="1">
      <c r="A205" s="35" t="s">
        <v>605</v>
      </c>
      <c r="B205" s="35" t="s">
        <v>455</v>
      </c>
      <c r="C205" s="35" t="s">
        <v>456</v>
      </c>
      <c r="D205" s="36" t="s">
        <v>606</v>
      </c>
      <c r="E205" s="36"/>
      <c r="F205" s="36"/>
      <c r="G205" s="36"/>
      <c r="H205" s="36"/>
      <c r="I205" s="36"/>
      <c r="J205" s="36"/>
      <c r="K205" s="37">
        <v>0.13</v>
      </c>
      <c r="L205" s="37">
        <f>ROUND(17.34,3)</f>
        <v>17.34</v>
      </c>
      <c r="M205" s="38">
        <f>ROUND(K205*L205,2)</f>
        <v>2.25</v>
      </c>
    </row>
    <row r="206" spans="1:13" ht="15.2" customHeight="1">
      <c r="A206" s="35" t="s">
        <v>460</v>
      </c>
      <c r="B206" s="35"/>
      <c r="C206" s="35" t="s">
        <v>460</v>
      </c>
      <c r="D206" s="36" t="s">
        <v>461</v>
      </c>
      <c r="E206" s="36"/>
      <c r="F206" s="36"/>
      <c r="G206" s="36"/>
      <c r="H206" s="36"/>
      <c r="I206" s="36"/>
      <c r="J206" s="36"/>
      <c r="K206" s="37">
        <v>2</v>
      </c>
      <c r="L206" s="37">
        <f>ROUND(40.2,3)</f>
        <v>40.200000000000003</v>
      </c>
      <c r="M206" s="38">
        <f>ROUND((K206*L206)/100,2)</f>
        <v>0.8</v>
      </c>
    </row>
    <row r="207" spans="1:13" ht="15.4" customHeight="1">
      <c r="A207" s="52"/>
      <c r="B207" s="52"/>
      <c r="C207" s="52"/>
      <c r="D207" s="53" t="s">
        <v>598</v>
      </c>
      <c r="E207" s="52"/>
      <c r="F207" s="52"/>
      <c r="G207" s="52"/>
      <c r="H207" s="52"/>
      <c r="I207" s="52"/>
      <c r="J207" s="52"/>
      <c r="K207" s="54">
        <v>108.864</v>
      </c>
      <c r="L207" s="55">
        <f>ROUND((M202+M203+M204+M205+M206)*(1+M2/100),2)</f>
        <v>42.23</v>
      </c>
      <c r="M207" s="55">
        <f>ROUND(K207*L207,2)</f>
        <v>4597.33</v>
      </c>
    </row>
    <row r="208" spans="1:13" ht="30.6" customHeight="1">
      <c r="A208" s="56" t="s">
        <v>607</v>
      </c>
      <c r="B208" s="57" t="s">
        <v>431</v>
      </c>
      <c r="C208" s="57" t="s">
        <v>56</v>
      </c>
      <c r="D208" s="58" t="s">
        <v>608</v>
      </c>
      <c r="E208" s="58"/>
      <c r="F208" s="58"/>
      <c r="G208" s="58"/>
      <c r="H208" s="58"/>
      <c r="I208" s="58"/>
      <c r="J208" s="58"/>
      <c r="K208" s="59">
        <f>SUM(K211:K211)</f>
        <v>71.483999999999995</v>
      </c>
      <c r="L208" s="60">
        <f>L217</f>
        <v>30.77</v>
      </c>
      <c r="M208" s="60">
        <f>ROUND(K208*L208,2)</f>
        <v>2199.56</v>
      </c>
    </row>
    <row r="209" spans="1:13" ht="58.35" customHeight="1">
      <c r="A209" s="39"/>
      <c r="B209" s="39"/>
      <c r="C209" s="39"/>
      <c r="D209" s="36" t="s">
        <v>609</v>
      </c>
      <c r="E209" s="36"/>
      <c r="F209" s="36"/>
      <c r="G209" s="36"/>
      <c r="H209" s="36"/>
      <c r="I209" s="36"/>
      <c r="J209" s="36"/>
      <c r="K209" s="36"/>
      <c r="L209" s="36"/>
      <c r="M209" s="36"/>
    </row>
    <row r="210" spans="1:13" ht="15.2" customHeight="1">
      <c r="A210" s="39"/>
      <c r="B210" s="39"/>
      <c r="C210" s="39"/>
      <c r="D210" s="39"/>
      <c r="E210" s="40"/>
      <c r="F210" s="41" t="s">
        <v>434</v>
      </c>
      <c r="G210" s="41" t="s">
        <v>435</v>
      </c>
      <c r="H210" s="41" t="s">
        <v>436</v>
      </c>
      <c r="I210" s="41" t="s">
        <v>437</v>
      </c>
      <c r="J210" s="41" t="s">
        <v>438</v>
      </c>
      <c r="K210" s="41" t="s">
        <v>439</v>
      </c>
      <c r="L210" s="39"/>
      <c r="M210" s="39"/>
    </row>
    <row r="211" spans="1:13" ht="15.2" customHeight="1">
      <c r="A211" s="39"/>
      <c r="B211" s="39"/>
      <c r="C211" s="39"/>
      <c r="D211" s="42"/>
      <c r="E211" s="43"/>
      <c r="F211" s="44">
        <v>71.483999999999995</v>
      </c>
      <c r="G211" s="45"/>
      <c r="H211" s="45"/>
      <c r="I211" s="45"/>
      <c r="J211" s="46">
        <f>ROUND(F211,3)</f>
        <v>71.483999999999995</v>
      </c>
      <c r="K211" s="47">
        <f>SUM(J211:J211)</f>
        <v>71.483999999999995</v>
      </c>
      <c r="L211" s="39"/>
      <c r="M211" s="39"/>
    </row>
    <row r="212" spans="1:13" ht="21.4" customHeight="1">
      <c r="A212" s="35" t="s">
        <v>610</v>
      </c>
      <c r="B212" s="35" t="s">
        <v>451</v>
      </c>
      <c r="C212" s="35" t="s">
        <v>56</v>
      </c>
      <c r="D212" s="36" t="s">
        <v>611</v>
      </c>
      <c r="E212" s="36"/>
      <c r="F212" s="36"/>
      <c r="G212" s="36"/>
      <c r="H212" s="36"/>
      <c r="I212" s="36"/>
      <c r="J212" s="36"/>
      <c r="K212" s="37">
        <v>1.05</v>
      </c>
      <c r="L212" s="37">
        <f>ROUND(22.97,3)</f>
        <v>22.97</v>
      </c>
      <c r="M212" s="38">
        <f>ROUND(K212*L212,2)</f>
        <v>24.12</v>
      </c>
    </row>
    <row r="213" spans="1:13" ht="15.2" customHeight="1">
      <c r="A213" s="35" t="s">
        <v>515</v>
      </c>
      <c r="B213" s="35" t="s">
        <v>451</v>
      </c>
      <c r="C213" s="35" t="s">
        <v>516</v>
      </c>
      <c r="D213" s="36" t="s">
        <v>517</v>
      </c>
      <c r="E213" s="36"/>
      <c r="F213" s="36"/>
      <c r="G213" s="36"/>
      <c r="H213" s="36"/>
      <c r="I213" s="36"/>
      <c r="J213" s="36"/>
      <c r="K213" s="37">
        <v>4.2000000000000003E-2</v>
      </c>
      <c r="L213" s="37">
        <f>ROUND(11.68,3)</f>
        <v>11.68</v>
      </c>
      <c r="M213" s="38">
        <f>ROUND(K213*L213,2)</f>
        <v>0.49</v>
      </c>
    </row>
    <row r="214" spans="1:13" ht="15.2" customHeight="1">
      <c r="A214" s="35" t="s">
        <v>603</v>
      </c>
      <c r="B214" s="35" t="s">
        <v>455</v>
      </c>
      <c r="C214" s="35" t="s">
        <v>456</v>
      </c>
      <c r="D214" s="36" t="s">
        <v>604</v>
      </c>
      <c r="E214" s="36"/>
      <c r="F214" s="36"/>
      <c r="G214" s="36"/>
      <c r="H214" s="36"/>
      <c r="I214" s="36"/>
      <c r="J214" s="36"/>
      <c r="K214" s="37">
        <v>0.124</v>
      </c>
      <c r="L214" s="37">
        <f>ROUND(20.33,3)</f>
        <v>20.329999999999998</v>
      </c>
      <c r="M214" s="38">
        <f>ROUND(K214*L214,2)</f>
        <v>2.52</v>
      </c>
    </row>
    <row r="215" spans="1:13" ht="15.2" customHeight="1">
      <c r="A215" s="35" t="s">
        <v>605</v>
      </c>
      <c r="B215" s="35" t="s">
        <v>455</v>
      </c>
      <c r="C215" s="35" t="s">
        <v>456</v>
      </c>
      <c r="D215" s="36" t="s">
        <v>606</v>
      </c>
      <c r="E215" s="36"/>
      <c r="F215" s="36"/>
      <c r="G215" s="36"/>
      <c r="H215" s="36"/>
      <c r="I215" s="36"/>
      <c r="J215" s="36"/>
      <c r="K215" s="37">
        <v>0.124</v>
      </c>
      <c r="L215" s="37">
        <f>ROUND(17.34,3)</f>
        <v>17.34</v>
      </c>
      <c r="M215" s="38">
        <f>ROUND(K215*L215,2)</f>
        <v>2.15</v>
      </c>
    </row>
    <row r="216" spans="1:13" ht="15.2" customHeight="1">
      <c r="A216" s="35" t="s">
        <v>460</v>
      </c>
      <c r="B216" s="35"/>
      <c r="C216" s="35" t="s">
        <v>460</v>
      </c>
      <c r="D216" s="36" t="s">
        <v>461</v>
      </c>
      <c r="E216" s="36"/>
      <c r="F216" s="36"/>
      <c r="G216" s="36"/>
      <c r="H216" s="36"/>
      <c r="I216" s="36"/>
      <c r="J216" s="36"/>
      <c r="K216" s="37">
        <v>2</v>
      </c>
      <c r="L216" s="37">
        <f>ROUND(29.28,3)</f>
        <v>29.28</v>
      </c>
      <c r="M216" s="38">
        <f>ROUND((K216*L216)/100,2)</f>
        <v>0.59</v>
      </c>
    </row>
    <row r="217" spans="1:13" ht="15.4" customHeight="1">
      <c r="A217" s="52"/>
      <c r="B217" s="52"/>
      <c r="C217" s="52"/>
      <c r="D217" s="53" t="s">
        <v>607</v>
      </c>
      <c r="E217" s="52"/>
      <c r="F217" s="52"/>
      <c r="G217" s="52"/>
      <c r="H217" s="52"/>
      <c r="I217" s="52"/>
      <c r="J217" s="52"/>
      <c r="K217" s="54">
        <v>71.483999999999995</v>
      </c>
      <c r="L217" s="55">
        <f>ROUND((M212+M213+M214+M215+M216)*(1+M2/100),2)</f>
        <v>30.77</v>
      </c>
      <c r="M217" s="55">
        <f>ROUND(K217*L217,2)</f>
        <v>2199.56</v>
      </c>
    </row>
    <row r="218" spans="1:13" ht="15.4" customHeight="1">
      <c r="A218" s="56" t="s">
        <v>612</v>
      </c>
      <c r="B218" s="57" t="s">
        <v>431</v>
      </c>
      <c r="C218" s="57" t="s">
        <v>3</v>
      </c>
      <c r="D218" s="58" t="s">
        <v>613</v>
      </c>
      <c r="E218" s="58"/>
      <c r="F218" s="58"/>
      <c r="G218" s="58"/>
      <c r="H218" s="58"/>
      <c r="I218" s="58"/>
      <c r="J218" s="58"/>
      <c r="K218" s="59">
        <f>ROUND(14,2)</f>
        <v>14</v>
      </c>
      <c r="L218" s="60">
        <f>L224</f>
        <v>223.01</v>
      </c>
      <c r="M218" s="60">
        <f>ROUND(K218*L218,2)</f>
        <v>3122.14</v>
      </c>
    </row>
    <row r="219" spans="1:13" ht="12.2" customHeight="1">
      <c r="A219" s="39"/>
      <c r="B219" s="39"/>
      <c r="C219" s="39"/>
      <c r="D219" s="36" t="s">
        <v>614</v>
      </c>
      <c r="E219" s="36"/>
      <c r="F219" s="36"/>
      <c r="G219" s="36"/>
      <c r="H219" s="36"/>
      <c r="I219" s="36"/>
      <c r="J219" s="36"/>
      <c r="K219" s="36"/>
      <c r="L219" s="36"/>
      <c r="M219" s="36"/>
    </row>
    <row r="220" spans="1:13" ht="15.2" customHeight="1">
      <c r="A220" s="35" t="s">
        <v>529</v>
      </c>
      <c r="B220" s="35" t="s">
        <v>455</v>
      </c>
      <c r="C220" s="35" t="s">
        <v>456</v>
      </c>
      <c r="D220" s="36" t="s">
        <v>530</v>
      </c>
      <c r="E220" s="36"/>
      <c r="F220" s="36"/>
      <c r="G220" s="36"/>
      <c r="H220" s="36"/>
      <c r="I220" s="36"/>
      <c r="J220" s="36"/>
      <c r="K220" s="37">
        <v>1</v>
      </c>
      <c r="L220" s="37">
        <f>ROUND(17.32,3)</f>
        <v>17.32</v>
      </c>
      <c r="M220" s="38">
        <f t="shared" ref="M220:M225" si="8">ROUND(K220*L220,2)</f>
        <v>17.32</v>
      </c>
    </row>
    <row r="221" spans="1:13" ht="15.2" customHeight="1">
      <c r="A221" s="35" t="s">
        <v>527</v>
      </c>
      <c r="B221" s="35" t="s">
        <v>455</v>
      </c>
      <c r="C221" s="35" t="s">
        <v>456</v>
      </c>
      <c r="D221" s="36" t="s">
        <v>528</v>
      </c>
      <c r="E221" s="36"/>
      <c r="F221" s="36"/>
      <c r="G221" s="36"/>
      <c r="H221" s="36"/>
      <c r="I221" s="36"/>
      <c r="J221" s="36"/>
      <c r="K221" s="37">
        <v>1</v>
      </c>
      <c r="L221" s="37">
        <f>ROUND(20.33,3)</f>
        <v>20.329999999999998</v>
      </c>
      <c r="M221" s="38">
        <f t="shared" si="8"/>
        <v>20.329999999999998</v>
      </c>
    </row>
    <row r="222" spans="1:13" ht="15.2" customHeight="1">
      <c r="A222" s="35" t="s">
        <v>615</v>
      </c>
      <c r="B222" s="35" t="s">
        <v>451</v>
      </c>
      <c r="C222" s="35" t="s">
        <v>3</v>
      </c>
      <c r="D222" s="36" t="s">
        <v>616</v>
      </c>
      <c r="E222" s="36"/>
      <c r="F222" s="36"/>
      <c r="G222" s="36"/>
      <c r="H222" s="36"/>
      <c r="I222" s="36"/>
      <c r="J222" s="36"/>
      <c r="K222" s="37">
        <v>1</v>
      </c>
      <c r="L222" s="37">
        <f>ROUND(152.23,3)</f>
        <v>152.22999999999999</v>
      </c>
      <c r="M222" s="38">
        <f t="shared" si="8"/>
        <v>152.22999999999999</v>
      </c>
    </row>
    <row r="223" spans="1:13" ht="15.2" customHeight="1">
      <c r="A223" s="35" t="s">
        <v>617</v>
      </c>
      <c r="B223" s="35" t="s">
        <v>451</v>
      </c>
      <c r="C223" s="35" t="s">
        <v>3</v>
      </c>
      <c r="D223" s="36" t="s">
        <v>618</v>
      </c>
      <c r="E223" s="36"/>
      <c r="F223" s="36"/>
      <c r="G223" s="36"/>
      <c r="H223" s="36"/>
      <c r="I223" s="36"/>
      <c r="J223" s="36"/>
      <c r="K223" s="37">
        <v>1</v>
      </c>
      <c r="L223" s="37">
        <f>ROUND(26.63,3)</f>
        <v>26.63</v>
      </c>
      <c r="M223" s="38">
        <f t="shared" si="8"/>
        <v>26.63</v>
      </c>
    </row>
    <row r="224" spans="1:13" ht="15.4" customHeight="1">
      <c r="A224" s="52"/>
      <c r="B224" s="52"/>
      <c r="C224" s="52"/>
      <c r="D224" s="53" t="s">
        <v>612</v>
      </c>
      <c r="E224" s="52"/>
      <c r="F224" s="52"/>
      <c r="G224" s="52"/>
      <c r="H224" s="52"/>
      <c r="I224" s="52"/>
      <c r="J224" s="52"/>
      <c r="K224" s="54">
        <v>14</v>
      </c>
      <c r="L224" s="55">
        <f>ROUND((M220+M221+M222+M223)*(1+M2/100),2)</f>
        <v>223.01</v>
      </c>
      <c r="M224" s="55">
        <f t="shared" si="8"/>
        <v>3122.14</v>
      </c>
    </row>
    <row r="225" spans="1:13" ht="15.4" customHeight="1">
      <c r="A225" s="56" t="s">
        <v>619</v>
      </c>
      <c r="B225" s="57" t="s">
        <v>431</v>
      </c>
      <c r="C225" s="57" t="s">
        <v>3</v>
      </c>
      <c r="D225" s="58" t="s">
        <v>620</v>
      </c>
      <c r="E225" s="58"/>
      <c r="F225" s="58"/>
      <c r="G225" s="58"/>
      <c r="H225" s="58"/>
      <c r="I225" s="58"/>
      <c r="J225" s="58"/>
      <c r="K225" s="59">
        <f>ROUND(1,2)</f>
        <v>1</v>
      </c>
      <c r="L225" s="60">
        <f>ROUND(1500*(1+M2/100),2)</f>
        <v>1545</v>
      </c>
      <c r="M225" s="60">
        <f t="shared" si="8"/>
        <v>1545</v>
      </c>
    </row>
    <row r="226" spans="1:13" ht="12.2" customHeight="1">
      <c r="A226" s="39"/>
      <c r="B226" s="39"/>
      <c r="C226" s="39"/>
      <c r="D226" s="36" t="s">
        <v>621</v>
      </c>
      <c r="E226" s="36"/>
      <c r="F226" s="36"/>
      <c r="G226" s="36"/>
      <c r="H226" s="36"/>
      <c r="I226" s="36"/>
      <c r="J226" s="36"/>
      <c r="K226" s="36"/>
      <c r="L226" s="36"/>
      <c r="M226" s="36"/>
    </row>
    <row r="227" spans="1:13" ht="15.4" customHeight="1">
      <c r="A227" s="34" t="s">
        <v>622</v>
      </c>
      <c r="B227" s="35" t="s">
        <v>431</v>
      </c>
      <c r="C227" s="35" t="s">
        <v>3</v>
      </c>
      <c r="D227" s="36" t="s">
        <v>623</v>
      </c>
      <c r="E227" s="36"/>
      <c r="F227" s="36"/>
      <c r="G227" s="36"/>
      <c r="H227" s="36"/>
      <c r="I227" s="36"/>
      <c r="J227" s="36"/>
      <c r="K227" s="37">
        <f>ROUND(14,2)</f>
        <v>14</v>
      </c>
      <c r="L227" s="38">
        <f>L233</f>
        <v>1595.6</v>
      </c>
      <c r="M227" s="38">
        <f>ROUND(K227*L227,2)</f>
        <v>22338.400000000001</v>
      </c>
    </row>
    <row r="228" spans="1:13" ht="12.2" customHeight="1">
      <c r="A228" s="39"/>
      <c r="B228" s="39"/>
      <c r="C228" s="39"/>
      <c r="D228" s="36" t="s">
        <v>624</v>
      </c>
      <c r="E228" s="36"/>
      <c r="F228" s="36"/>
      <c r="G228" s="36"/>
      <c r="H228" s="36"/>
      <c r="I228" s="36"/>
      <c r="J228" s="36"/>
      <c r="K228" s="36"/>
      <c r="L228" s="36"/>
      <c r="M228" s="36"/>
    </row>
    <row r="229" spans="1:13" ht="15.2" customHeight="1">
      <c r="A229" s="35" t="s">
        <v>529</v>
      </c>
      <c r="B229" s="35" t="s">
        <v>455</v>
      </c>
      <c r="C229" s="35" t="s">
        <v>456</v>
      </c>
      <c r="D229" s="36" t="s">
        <v>530</v>
      </c>
      <c r="E229" s="36"/>
      <c r="F229" s="36"/>
      <c r="G229" s="36"/>
      <c r="H229" s="36"/>
      <c r="I229" s="36"/>
      <c r="J229" s="36"/>
      <c r="K229" s="37">
        <v>0.88</v>
      </c>
      <c r="L229" s="37">
        <f>ROUND(17.32,3)</f>
        <v>17.32</v>
      </c>
      <c r="M229" s="38">
        <f t="shared" ref="M229:M234" si="9">ROUND(K229*L229,2)</f>
        <v>15.24</v>
      </c>
    </row>
    <row r="230" spans="1:13" ht="15.2" customHeight="1">
      <c r="A230" s="35" t="s">
        <v>527</v>
      </c>
      <c r="B230" s="35" t="s">
        <v>455</v>
      </c>
      <c r="C230" s="35" t="s">
        <v>456</v>
      </c>
      <c r="D230" s="36" t="s">
        <v>528</v>
      </c>
      <c r="E230" s="36"/>
      <c r="F230" s="36"/>
      <c r="G230" s="36"/>
      <c r="H230" s="36"/>
      <c r="I230" s="36"/>
      <c r="J230" s="36"/>
      <c r="K230" s="37">
        <v>0.88</v>
      </c>
      <c r="L230" s="37">
        <f>ROUND(20.33,3)</f>
        <v>20.329999999999998</v>
      </c>
      <c r="M230" s="38">
        <f t="shared" si="9"/>
        <v>17.89</v>
      </c>
    </row>
    <row r="231" spans="1:13" ht="15.2" customHeight="1">
      <c r="A231" s="35" t="s">
        <v>625</v>
      </c>
      <c r="B231" s="35" t="s">
        <v>451</v>
      </c>
      <c r="C231" s="35" t="s">
        <v>3</v>
      </c>
      <c r="D231" s="36" t="s">
        <v>626</v>
      </c>
      <c r="E231" s="36"/>
      <c r="F231" s="36"/>
      <c r="G231" s="36"/>
      <c r="H231" s="36"/>
      <c r="I231" s="36"/>
      <c r="J231" s="36"/>
      <c r="K231" s="37">
        <v>1</v>
      </c>
      <c r="L231" s="37">
        <f>ROUND(1512.4,3)</f>
        <v>1512.4</v>
      </c>
      <c r="M231" s="38">
        <f t="shared" si="9"/>
        <v>1512.4</v>
      </c>
    </row>
    <row r="232" spans="1:13" ht="21.4" customHeight="1">
      <c r="A232" s="35" t="s">
        <v>531</v>
      </c>
      <c r="B232" s="35" t="s">
        <v>451</v>
      </c>
      <c r="C232" s="35" t="s">
        <v>56</v>
      </c>
      <c r="D232" s="36" t="s">
        <v>532</v>
      </c>
      <c r="E232" s="36"/>
      <c r="F232" s="36"/>
      <c r="G232" s="36"/>
      <c r="H232" s="36"/>
      <c r="I232" s="36"/>
      <c r="J232" s="36"/>
      <c r="K232" s="37">
        <v>9</v>
      </c>
      <c r="L232" s="37">
        <f>ROUND(0.4,3)</f>
        <v>0.4</v>
      </c>
      <c r="M232" s="38">
        <f t="shared" si="9"/>
        <v>3.6</v>
      </c>
    </row>
    <row r="233" spans="1:13" ht="15.4" customHeight="1">
      <c r="A233" s="52"/>
      <c r="B233" s="52"/>
      <c r="C233" s="52"/>
      <c r="D233" s="53" t="s">
        <v>622</v>
      </c>
      <c r="E233" s="52"/>
      <c r="F233" s="52"/>
      <c r="G233" s="52"/>
      <c r="H233" s="52"/>
      <c r="I233" s="52"/>
      <c r="J233" s="52"/>
      <c r="K233" s="54">
        <v>14</v>
      </c>
      <c r="L233" s="55">
        <f>ROUND((M229+M230+M231+M232)*(1+M2/100),2)</f>
        <v>1595.6</v>
      </c>
      <c r="M233" s="55">
        <f t="shared" si="9"/>
        <v>22338.400000000001</v>
      </c>
    </row>
    <row r="234" spans="1:13" ht="15.4" customHeight="1">
      <c r="A234" s="56" t="s">
        <v>627</v>
      </c>
      <c r="B234" s="57" t="s">
        <v>431</v>
      </c>
      <c r="C234" s="57" t="s">
        <v>3</v>
      </c>
      <c r="D234" s="58" t="s">
        <v>628</v>
      </c>
      <c r="E234" s="58"/>
      <c r="F234" s="58"/>
      <c r="G234" s="58"/>
      <c r="H234" s="58"/>
      <c r="I234" s="58"/>
      <c r="J234" s="58"/>
      <c r="K234" s="59">
        <f>ROUND(14,2)</f>
        <v>14</v>
      </c>
      <c r="L234" s="60">
        <f>L239</f>
        <v>192.57</v>
      </c>
      <c r="M234" s="60">
        <f t="shared" si="9"/>
        <v>2695.98</v>
      </c>
    </row>
    <row r="235" spans="1:13" ht="12.2" customHeight="1">
      <c r="A235" s="39"/>
      <c r="B235" s="39"/>
      <c r="C235" s="39"/>
      <c r="D235" s="36" t="s">
        <v>629</v>
      </c>
      <c r="E235" s="36"/>
      <c r="F235" s="36"/>
      <c r="G235" s="36"/>
      <c r="H235" s="36"/>
      <c r="I235" s="36"/>
      <c r="J235" s="36"/>
      <c r="K235" s="36"/>
      <c r="L235" s="36"/>
      <c r="M235" s="36"/>
    </row>
    <row r="236" spans="1:13" ht="15.2" customHeight="1">
      <c r="A236" s="35" t="s">
        <v>529</v>
      </c>
      <c r="B236" s="35" t="s">
        <v>455</v>
      </c>
      <c r="C236" s="35" t="s">
        <v>456</v>
      </c>
      <c r="D236" s="36" t="s">
        <v>530</v>
      </c>
      <c r="E236" s="36"/>
      <c r="F236" s="36"/>
      <c r="G236" s="36"/>
      <c r="H236" s="36"/>
      <c r="I236" s="36"/>
      <c r="J236" s="36"/>
      <c r="K236" s="37">
        <v>1</v>
      </c>
      <c r="L236" s="37">
        <f>ROUND(17.32,3)</f>
        <v>17.32</v>
      </c>
      <c r="M236" s="38">
        <f>ROUND(K236*L236,2)</f>
        <v>17.32</v>
      </c>
    </row>
    <row r="237" spans="1:13" ht="15.2" customHeight="1">
      <c r="A237" s="35" t="s">
        <v>458</v>
      </c>
      <c r="B237" s="35" t="s">
        <v>455</v>
      </c>
      <c r="C237" s="35" t="s">
        <v>456</v>
      </c>
      <c r="D237" s="36" t="s">
        <v>459</v>
      </c>
      <c r="E237" s="36"/>
      <c r="F237" s="36"/>
      <c r="G237" s="36"/>
      <c r="H237" s="36"/>
      <c r="I237" s="36"/>
      <c r="J237" s="36"/>
      <c r="K237" s="37">
        <v>1</v>
      </c>
      <c r="L237" s="37">
        <f>ROUND(17.32,3)</f>
        <v>17.32</v>
      </c>
      <c r="M237" s="38">
        <f>ROUND(K237*L237,2)</f>
        <v>17.32</v>
      </c>
    </row>
    <row r="238" spans="1:13" ht="15.2" customHeight="1">
      <c r="A238" s="35" t="s">
        <v>630</v>
      </c>
      <c r="B238" s="35" t="s">
        <v>451</v>
      </c>
      <c r="C238" s="35" t="s">
        <v>3</v>
      </c>
      <c r="D238" s="36" t="s">
        <v>631</v>
      </c>
      <c r="E238" s="36"/>
      <c r="F238" s="36"/>
      <c r="G238" s="36"/>
      <c r="H238" s="36"/>
      <c r="I238" s="36"/>
      <c r="J238" s="36"/>
      <c r="K238" s="37">
        <v>1</v>
      </c>
      <c r="L238" s="37">
        <f>ROUND(152.32,3)</f>
        <v>152.32</v>
      </c>
      <c r="M238" s="38">
        <f>ROUND(K238*L238,2)</f>
        <v>152.32</v>
      </c>
    </row>
    <row r="239" spans="1:13" ht="15.4" customHeight="1">
      <c r="A239" s="52"/>
      <c r="B239" s="52"/>
      <c r="C239" s="52"/>
      <c r="D239" s="53" t="s">
        <v>627</v>
      </c>
      <c r="E239" s="52"/>
      <c r="F239" s="52"/>
      <c r="G239" s="52"/>
      <c r="H239" s="52"/>
      <c r="I239" s="52"/>
      <c r="J239" s="52"/>
      <c r="K239" s="54">
        <v>14</v>
      </c>
      <c r="L239" s="55">
        <f>ROUND((M236+M237+M238)*(1+M2/100),2)</f>
        <v>192.57</v>
      </c>
      <c r="M239" s="55">
        <f>ROUND(K239*L239,2)</f>
        <v>2695.98</v>
      </c>
    </row>
    <row r="240" spans="1:13" ht="21.4" customHeight="1">
      <c r="A240" s="56" t="s">
        <v>632</v>
      </c>
      <c r="B240" s="57" t="s">
        <v>431</v>
      </c>
      <c r="C240" s="57" t="s">
        <v>422</v>
      </c>
      <c r="D240" s="58" t="s">
        <v>633</v>
      </c>
      <c r="E240" s="58"/>
      <c r="F240" s="58"/>
      <c r="G240" s="58"/>
      <c r="H240" s="58"/>
      <c r="I240" s="58"/>
      <c r="J240" s="58"/>
      <c r="K240" s="59">
        <f>ROUND(14,2)</f>
        <v>14</v>
      </c>
      <c r="L240" s="60">
        <f>L245</f>
        <v>47.15</v>
      </c>
      <c r="M240" s="60">
        <f>ROUND(K240*L240,2)</f>
        <v>660.1</v>
      </c>
    </row>
    <row r="241" spans="1:13" ht="49.15" customHeight="1">
      <c r="A241" s="39"/>
      <c r="B241" s="39"/>
      <c r="C241" s="39"/>
      <c r="D241" s="36" t="s">
        <v>634</v>
      </c>
      <c r="E241" s="36"/>
      <c r="F241" s="36"/>
      <c r="G241" s="36"/>
      <c r="H241" s="36"/>
      <c r="I241" s="36"/>
      <c r="J241" s="36"/>
      <c r="K241" s="36"/>
      <c r="L241" s="36"/>
      <c r="M241" s="36"/>
    </row>
    <row r="242" spans="1:13" ht="30.6" customHeight="1">
      <c r="A242" s="35" t="s">
        <v>635</v>
      </c>
      <c r="B242" s="35" t="s">
        <v>451</v>
      </c>
      <c r="C242" s="35" t="s">
        <v>422</v>
      </c>
      <c r="D242" s="36" t="s">
        <v>636</v>
      </c>
      <c r="E242" s="36"/>
      <c r="F242" s="36"/>
      <c r="G242" s="36"/>
      <c r="H242" s="36"/>
      <c r="I242" s="36"/>
      <c r="J242" s="36"/>
      <c r="K242" s="37">
        <v>1</v>
      </c>
      <c r="L242" s="37">
        <f>ROUND(39.29,3)</f>
        <v>39.29</v>
      </c>
      <c r="M242" s="38">
        <f>ROUND(K242*L242,2)</f>
        <v>39.29</v>
      </c>
    </row>
    <row r="243" spans="1:13" ht="15.2" customHeight="1">
      <c r="A243" s="35" t="s">
        <v>493</v>
      </c>
      <c r="B243" s="35" t="s">
        <v>455</v>
      </c>
      <c r="C243" s="35" t="s">
        <v>456</v>
      </c>
      <c r="D243" s="36" t="s">
        <v>494</v>
      </c>
      <c r="E243" s="36"/>
      <c r="F243" s="36"/>
      <c r="G243" s="36"/>
      <c r="H243" s="36"/>
      <c r="I243" s="36"/>
      <c r="J243" s="36"/>
      <c r="K243" s="37">
        <v>0.27500000000000002</v>
      </c>
      <c r="L243" s="37">
        <f>ROUND(20.33,3)</f>
        <v>20.329999999999998</v>
      </c>
      <c r="M243" s="38">
        <f>ROUND(K243*L243,2)</f>
        <v>5.59</v>
      </c>
    </row>
    <row r="244" spans="1:13" ht="15.2" customHeight="1">
      <c r="A244" s="35" t="s">
        <v>460</v>
      </c>
      <c r="B244" s="35"/>
      <c r="C244" s="35" t="s">
        <v>460</v>
      </c>
      <c r="D244" s="36" t="s">
        <v>461</v>
      </c>
      <c r="E244" s="36"/>
      <c r="F244" s="36"/>
      <c r="G244" s="36"/>
      <c r="H244" s="36"/>
      <c r="I244" s="36"/>
      <c r="J244" s="36"/>
      <c r="K244" s="37">
        <v>2</v>
      </c>
      <c r="L244" s="37">
        <f>ROUND(44.88,3)</f>
        <v>44.88</v>
      </c>
      <c r="M244" s="38">
        <f>ROUND((K244*L244)/100,2)</f>
        <v>0.9</v>
      </c>
    </row>
    <row r="245" spans="1:13" ht="15.4" customHeight="1">
      <c r="A245" s="52"/>
      <c r="B245" s="52"/>
      <c r="C245" s="52"/>
      <c r="D245" s="53" t="s">
        <v>632</v>
      </c>
      <c r="E245" s="52"/>
      <c r="F245" s="52"/>
      <c r="G245" s="52"/>
      <c r="H245" s="52"/>
      <c r="I245" s="52"/>
      <c r="J245" s="52"/>
      <c r="K245" s="54">
        <v>14</v>
      </c>
      <c r="L245" s="55">
        <f>ROUND((M242+M243+M244)*(1+M2/100),2)</f>
        <v>47.15</v>
      </c>
      <c r="M245" s="55">
        <f>ROUND(K245*L245,2)</f>
        <v>660.1</v>
      </c>
    </row>
    <row r="246" spans="1:13" ht="15.4" customHeight="1">
      <c r="A246" s="56" t="s">
        <v>637</v>
      </c>
      <c r="B246" s="57" t="s">
        <v>431</v>
      </c>
      <c r="C246" s="57" t="s">
        <v>3</v>
      </c>
      <c r="D246" s="58" t="s">
        <v>638</v>
      </c>
      <c r="E246" s="58"/>
      <c r="F246" s="58"/>
      <c r="G246" s="58"/>
      <c r="H246" s="58"/>
      <c r="I246" s="58"/>
      <c r="J246" s="58"/>
      <c r="K246" s="59">
        <f>ROUND(14,2)</f>
        <v>14</v>
      </c>
      <c r="L246" s="60">
        <f>ROUND(241*(1+M2/100),2)</f>
        <v>248.23</v>
      </c>
      <c r="M246" s="60">
        <f>ROUND(K246*L246,2)</f>
        <v>3475.22</v>
      </c>
    </row>
    <row r="247" spans="1:13" ht="12.2" customHeight="1">
      <c r="A247" s="39"/>
      <c r="B247" s="39"/>
      <c r="C247" s="39"/>
      <c r="D247" s="36" t="s">
        <v>639</v>
      </c>
      <c r="E247" s="36"/>
      <c r="F247" s="36"/>
      <c r="G247" s="36"/>
      <c r="H247" s="36"/>
      <c r="I247" s="36"/>
      <c r="J247" s="36"/>
      <c r="K247" s="36"/>
      <c r="L247" s="36"/>
      <c r="M247" s="36"/>
    </row>
    <row r="248" spans="1:13" ht="15.4" customHeight="1">
      <c r="A248" s="52"/>
      <c r="B248" s="52"/>
      <c r="C248" s="52"/>
      <c r="D248" s="72" t="s">
        <v>556</v>
      </c>
      <c r="E248" s="73"/>
      <c r="F248" s="73"/>
      <c r="G248" s="73"/>
      <c r="H248" s="73"/>
      <c r="I248" s="73"/>
      <c r="J248" s="73"/>
      <c r="K248" s="73"/>
      <c r="L248" s="74">
        <f>M132+M144+M156+M167+M171+M182+M194+M198+M208+M218+M225+M227+M234+M240+M246</f>
        <v>51610.48000000001</v>
      </c>
      <c r="M248" s="74">
        <f>ROUND(L248,2)</f>
        <v>51610.48</v>
      </c>
    </row>
    <row r="249" spans="1:13" ht="15.4" customHeight="1">
      <c r="A249" s="75" t="s">
        <v>640</v>
      </c>
      <c r="B249" s="75" t="s">
        <v>428</v>
      </c>
      <c r="C249" s="76"/>
      <c r="D249" s="77" t="s">
        <v>641</v>
      </c>
      <c r="E249" s="77"/>
      <c r="F249" s="77"/>
      <c r="G249" s="77"/>
      <c r="H249" s="77"/>
      <c r="I249" s="77"/>
      <c r="J249" s="77"/>
      <c r="K249" s="76"/>
      <c r="L249" s="78">
        <f>L366</f>
        <v>51543.98000000001</v>
      </c>
      <c r="M249" s="78">
        <f>ROUND(L249,2)</f>
        <v>51543.98</v>
      </c>
    </row>
    <row r="250" spans="1:13" ht="39.75" customHeight="1">
      <c r="A250" s="34" t="s">
        <v>642</v>
      </c>
      <c r="B250" s="35" t="s">
        <v>431</v>
      </c>
      <c r="C250" s="35" t="s">
        <v>56</v>
      </c>
      <c r="D250" s="36" t="s">
        <v>559</v>
      </c>
      <c r="E250" s="36"/>
      <c r="F250" s="36"/>
      <c r="G250" s="36"/>
      <c r="H250" s="36"/>
      <c r="I250" s="36"/>
      <c r="J250" s="36"/>
      <c r="K250" s="37">
        <f>SUM(K253:K253)</f>
        <v>71.483999999999995</v>
      </c>
      <c r="L250" s="38">
        <f>L261</f>
        <v>21.35</v>
      </c>
      <c r="M250" s="38">
        <f>ROUND(K250*L250,2)</f>
        <v>1526.18</v>
      </c>
    </row>
    <row r="251" spans="1:13" ht="76.900000000000006" customHeight="1">
      <c r="A251" s="39"/>
      <c r="B251" s="39"/>
      <c r="C251" s="39"/>
      <c r="D251" s="36" t="s">
        <v>560</v>
      </c>
      <c r="E251" s="36"/>
      <c r="F251" s="36"/>
      <c r="G251" s="36"/>
      <c r="H251" s="36"/>
      <c r="I251" s="36"/>
      <c r="J251" s="36"/>
      <c r="K251" s="36"/>
      <c r="L251" s="36"/>
      <c r="M251" s="36"/>
    </row>
    <row r="252" spans="1:13" ht="15.2" customHeight="1">
      <c r="A252" s="39"/>
      <c r="B252" s="39"/>
      <c r="C252" s="39"/>
      <c r="D252" s="39"/>
      <c r="E252" s="40"/>
      <c r="F252" s="41" t="s">
        <v>434</v>
      </c>
      <c r="G252" s="41" t="s">
        <v>435</v>
      </c>
      <c r="H252" s="41" t="s">
        <v>436</v>
      </c>
      <c r="I252" s="41" t="s">
        <v>437</v>
      </c>
      <c r="J252" s="41" t="s">
        <v>438</v>
      </c>
      <c r="K252" s="41" t="s">
        <v>439</v>
      </c>
      <c r="L252" s="39"/>
      <c r="M252" s="39"/>
    </row>
    <row r="253" spans="1:13" ht="21.4" customHeight="1">
      <c r="A253" s="39"/>
      <c r="B253" s="39"/>
      <c r="C253" s="39"/>
      <c r="D253" s="42"/>
      <c r="E253" s="43" t="s">
        <v>561</v>
      </c>
      <c r="F253" s="44">
        <v>2</v>
      </c>
      <c r="G253" s="45">
        <v>34.04</v>
      </c>
      <c r="H253" s="45">
        <v>1.05</v>
      </c>
      <c r="I253" s="45"/>
      <c r="J253" s="46">
        <f>ROUND(F253*G253*H253,3)</f>
        <v>71.483999999999995</v>
      </c>
      <c r="K253" s="47">
        <f>SUM(J253:J253)</f>
        <v>71.483999999999995</v>
      </c>
      <c r="L253" s="39"/>
      <c r="M253" s="39"/>
    </row>
    <row r="254" spans="1:13" ht="21.4" customHeight="1">
      <c r="A254" s="35" t="s">
        <v>562</v>
      </c>
      <c r="B254" s="35" t="s">
        <v>451</v>
      </c>
      <c r="C254" s="35" t="s">
        <v>422</v>
      </c>
      <c r="D254" s="36" t="s">
        <v>563</v>
      </c>
      <c r="E254" s="36"/>
      <c r="F254" s="36"/>
      <c r="G254" s="36"/>
      <c r="H254" s="36"/>
      <c r="I254" s="36"/>
      <c r="J254" s="36"/>
      <c r="K254" s="37">
        <v>1</v>
      </c>
      <c r="L254" s="37">
        <f>ROUND(0.27,3)</f>
        <v>0.27</v>
      </c>
      <c r="M254" s="38">
        <f t="shared" ref="M254:M259" si="10">ROUND(K254*L254,2)</f>
        <v>0.27</v>
      </c>
    </row>
    <row r="255" spans="1:13" ht="30.6" customHeight="1">
      <c r="A255" s="35" t="s">
        <v>564</v>
      </c>
      <c r="B255" s="35" t="s">
        <v>451</v>
      </c>
      <c r="C255" s="35" t="s">
        <v>56</v>
      </c>
      <c r="D255" s="36" t="s">
        <v>565</v>
      </c>
      <c r="E255" s="36"/>
      <c r="F255" s="36"/>
      <c r="G255" s="36"/>
      <c r="H255" s="36"/>
      <c r="I255" s="36"/>
      <c r="J255" s="36"/>
      <c r="K255" s="37">
        <v>1</v>
      </c>
      <c r="L255" s="37">
        <f>ROUND(6.6,3)</f>
        <v>6.6</v>
      </c>
      <c r="M255" s="38">
        <f t="shared" si="10"/>
        <v>6.6</v>
      </c>
    </row>
    <row r="256" spans="1:13" ht="21.4" customHeight="1">
      <c r="A256" s="35" t="s">
        <v>566</v>
      </c>
      <c r="B256" s="35" t="s">
        <v>451</v>
      </c>
      <c r="C256" s="35" t="s">
        <v>56</v>
      </c>
      <c r="D256" s="36" t="s">
        <v>567</v>
      </c>
      <c r="E256" s="36"/>
      <c r="F256" s="36"/>
      <c r="G256" s="36"/>
      <c r="H256" s="36"/>
      <c r="I256" s="36"/>
      <c r="J256" s="36"/>
      <c r="K256" s="37">
        <v>1</v>
      </c>
      <c r="L256" s="37">
        <f>ROUND(7.84,3)</f>
        <v>7.84</v>
      </c>
      <c r="M256" s="38">
        <f t="shared" si="10"/>
        <v>7.84</v>
      </c>
    </row>
    <row r="257" spans="1:13" ht="15.2" customHeight="1">
      <c r="A257" s="35" t="s">
        <v>515</v>
      </c>
      <c r="B257" s="35" t="s">
        <v>451</v>
      </c>
      <c r="C257" s="35" t="s">
        <v>516</v>
      </c>
      <c r="D257" s="36" t="s">
        <v>517</v>
      </c>
      <c r="E257" s="36"/>
      <c r="F257" s="36"/>
      <c r="G257" s="36"/>
      <c r="H257" s="36"/>
      <c r="I257" s="36"/>
      <c r="J257" s="36"/>
      <c r="K257" s="37">
        <v>5.5E-2</v>
      </c>
      <c r="L257" s="37">
        <f>ROUND(11.68,3)</f>
        <v>11.68</v>
      </c>
      <c r="M257" s="38">
        <f t="shared" si="10"/>
        <v>0.64</v>
      </c>
    </row>
    <row r="258" spans="1:13" ht="15.2" customHeight="1">
      <c r="A258" s="35" t="s">
        <v>454</v>
      </c>
      <c r="B258" s="35" t="s">
        <v>455</v>
      </c>
      <c r="C258" s="35" t="s">
        <v>456</v>
      </c>
      <c r="D258" s="36" t="s">
        <v>457</v>
      </c>
      <c r="E258" s="36"/>
      <c r="F258" s="36"/>
      <c r="G258" s="36"/>
      <c r="H258" s="36"/>
      <c r="I258" s="36"/>
      <c r="J258" s="36"/>
      <c r="K258" s="37">
        <v>0.13200000000000001</v>
      </c>
      <c r="L258" s="37">
        <f>ROUND(20.33,3)</f>
        <v>20.329999999999998</v>
      </c>
      <c r="M258" s="38">
        <f t="shared" si="10"/>
        <v>2.68</v>
      </c>
    </row>
    <row r="259" spans="1:13" ht="15.2" customHeight="1">
      <c r="A259" s="35" t="s">
        <v>458</v>
      </c>
      <c r="B259" s="35" t="s">
        <v>455</v>
      </c>
      <c r="C259" s="35" t="s">
        <v>456</v>
      </c>
      <c r="D259" s="36" t="s">
        <v>459</v>
      </c>
      <c r="E259" s="36"/>
      <c r="F259" s="36"/>
      <c r="G259" s="36"/>
      <c r="H259" s="36"/>
      <c r="I259" s="36"/>
      <c r="J259" s="36"/>
      <c r="K259" s="37">
        <v>0.13200000000000001</v>
      </c>
      <c r="L259" s="37">
        <f>ROUND(17.32,3)</f>
        <v>17.32</v>
      </c>
      <c r="M259" s="38">
        <f t="shared" si="10"/>
        <v>2.29</v>
      </c>
    </row>
    <row r="260" spans="1:13" ht="15.2" customHeight="1">
      <c r="A260" s="35" t="s">
        <v>460</v>
      </c>
      <c r="B260" s="35"/>
      <c r="C260" s="35" t="s">
        <v>460</v>
      </c>
      <c r="D260" s="36" t="s">
        <v>461</v>
      </c>
      <c r="E260" s="36"/>
      <c r="F260" s="36"/>
      <c r="G260" s="36"/>
      <c r="H260" s="36"/>
      <c r="I260" s="36"/>
      <c r="J260" s="36"/>
      <c r="K260" s="37">
        <v>2</v>
      </c>
      <c r="L260" s="37">
        <f>ROUND(20.32,3)</f>
        <v>20.32</v>
      </c>
      <c r="M260" s="38">
        <f>ROUND((K260*L260)/100,2)</f>
        <v>0.41</v>
      </c>
    </row>
    <row r="261" spans="1:13" ht="15.4" customHeight="1">
      <c r="A261" s="52"/>
      <c r="B261" s="52"/>
      <c r="C261" s="52"/>
      <c r="D261" s="53" t="s">
        <v>642</v>
      </c>
      <c r="E261" s="52"/>
      <c r="F261" s="52"/>
      <c r="G261" s="52"/>
      <c r="H261" s="52"/>
      <c r="I261" s="52"/>
      <c r="J261" s="52"/>
      <c r="K261" s="54">
        <v>71.483999999999995</v>
      </c>
      <c r="L261" s="55">
        <f>ROUND((M254+M255+M256+M257+M258+M259+M260)*(1+M2/100),2)</f>
        <v>21.35</v>
      </c>
      <c r="M261" s="55">
        <f>ROUND(K261*L261,2)</f>
        <v>1526.18</v>
      </c>
    </row>
    <row r="262" spans="1:13" ht="39.75" customHeight="1">
      <c r="A262" s="56" t="s">
        <v>643</v>
      </c>
      <c r="B262" s="57" t="s">
        <v>431</v>
      </c>
      <c r="C262" s="57" t="s">
        <v>56</v>
      </c>
      <c r="D262" s="58" t="s">
        <v>569</v>
      </c>
      <c r="E262" s="58"/>
      <c r="F262" s="58"/>
      <c r="G262" s="58"/>
      <c r="H262" s="58"/>
      <c r="I262" s="58"/>
      <c r="J262" s="58"/>
      <c r="K262" s="59">
        <f>SUM(K265:K265)</f>
        <v>108.864</v>
      </c>
      <c r="L262" s="60">
        <f>L273</f>
        <v>32.51</v>
      </c>
      <c r="M262" s="60">
        <f>ROUND(K262*L262,2)</f>
        <v>3539.17</v>
      </c>
    </row>
    <row r="263" spans="1:13" ht="76.900000000000006" customHeight="1">
      <c r="A263" s="39"/>
      <c r="B263" s="39"/>
      <c r="C263" s="39"/>
      <c r="D263" s="36" t="s">
        <v>570</v>
      </c>
      <c r="E263" s="36"/>
      <c r="F263" s="36"/>
      <c r="G263" s="36"/>
      <c r="H263" s="36"/>
      <c r="I263" s="36"/>
      <c r="J263" s="36"/>
      <c r="K263" s="36"/>
      <c r="L263" s="36"/>
      <c r="M263" s="36"/>
    </row>
    <row r="264" spans="1:13" ht="15.2" customHeight="1">
      <c r="A264" s="39"/>
      <c r="B264" s="39"/>
      <c r="C264" s="39"/>
      <c r="D264" s="39"/>
      <c r="E264" s="40"/>
      <c r="F264" s="41" t="s">
        <v>434</v>
      </c>
      <c r="G264" s="41" t="s">
        <v>435</v>
      </c>
      <c r="H264" s="41" t="s">
        <v>436</v>
      </c>
      <c r="I264" s="41" t="s">
        <v>437</v>
      </c>
      <c r="J264" s="41" t="s">
        <v>438</v>
      </c>
      <c r="K264" s="41" t="s">
        <v>439</v>
      </c>
      <c r="L264" s="39"/>
      <c r="M264" s="39"/>
    </row>
    <row r="265" spans="1:13" ht="30.6" customHeight="1">
      <c r="A265" s="39"/>
      <c r="B265" s="39"/>
      <c r="C265" s="39"/>
      <c r="D265" s="42"/>
      <c r="E265" s="43" t="s">
        <v>571</v>
      </c>
      <c r="F265" s="44">
        <v>2</v>
      </c>
      <c r="G265" s="45">
        <v>51.84</v>
      </c>
      <c r="H265" s="45">
        <v>1.05</v>
      </c>
      <c r="I265" s="45"/>
      <c r="J265" s="46">
        <f>ROUND(F265*G265*H265,3)</f>
        <v>108.864</v>
      </c>
      <c r="K265" s="47">
        <f>SUM(J265:J265)</f>
        <v>108.864</v>
      </c>
      <c r="L265" s="39"/>
      <c r="M265" s="39"/>
    </row>
    <row r="266" spans="1:13" ht="21.4" customHeight="1">
      <c r="A266" s="35" t="s">
        <v>572</v>
      </c>
      <c r="B266" s="35" t="s">
        <v>451</v>
      </c>
      <c r="C266" s="35" t="s">
        <v>422</v>
      </c>
      <c r="D266" s="36" t="s">
        <v>573</v>
      </c>
      <c r="E266" s="36"/>
      <c r="F266" s="36"/>
      <c r="G266" s="36"/>
      <c r="H266" s="36"/>
      <c r="I266" s="36"/>
      <c r="J266" s="36"/>
      <c r="K266" s="37">
        <v>1</v>
      </c>
      <c r="L266" s="37">
        <f>ROUND(0.48,3)</f>
        <v>0.48</v>
      </c>
      <c r="M266" s="38">
        <f t="shared" ref="M266:M271" si="11">ROUND(K266*L266,2)</f>
        <v>0.48</v>
      </c>
    </row>
    <row r="267" spans="1:13" ht="30.6" customHeight="1">
      <c r="A267" s="35" t="s">
        <v>574</v>
      </c>
      <c r="B267" s="35" t="s">
        <v>451</v>
      </c>
      <c r="C267" s="35" t="s">
        <v>56</v>
      </c>
      <c r="D267" s="36" t="s">
        <v>575</v>
      </c>
      <c r="E267" s="36"/>
      <c r="F267" s="36"/>
      <c r="G267" s="36"/>
      <c r="H267" s="36"/>
      <c r="I267" s="36"/>
      <c r="J267" s="36"/>
      <c r="K267" s="37">
        <v>1</v>
      </c>
      <c r="L267" s="37">
        <f>ROUND(11.58,3)</f>
        <v>11.58</v>
      </c>
      <c r="M267" s="38">
        <f t="shared" si="11"/>
        <v>11.58</v>
      </c>
    </row>
    <row r="268" spans="1:13" ht="21.4" customHeight="1">
      <c r="A268" s="35" t="s">
        <v>576</v>
      </c>
      <c r="B268" s="35" t="s">
        <v>451</v>
      </c>
      <c r="C268" s="35" t="s">
        <v>56</v>
      </c>
      <c r="D268" s="36" t="s">
        <v>577</v>
      </c>
      <c r="E268" s="36"/>
      <c r="F268" s="36"/>
      <c r="G268" s="36"/>
      <c r="H268" s="36"/>
      <c r="I268" s="36"/>
      <c r="J268" s="36"/>
      <c r="K268" s="37">
        <v>1</v>
      </c>
      <c r="L268" s="37">
        <f>ROUND(13.13,3)</f>
        <v>13.13</v>
      </c>
      <c r="M268" s="38">
        <f t="shared" si="11"/>
        <v>13.13</v>
      </c>
    </row>
    <row r="269" spans="1:13" ht="15.2" customHeight="1">
      <c r="A269" s="35" t="s">
        <v>515</v>
      </c>
      <c r="B269" s="35" t="s">
        <v>451</v>
      </c>
      <c r="C269" s="35" t="s">
        <v>516</v>
      </c>
      <c r="D269" s="36" t="s">
        <v>517</v>
      </c>
      <c r="E269" s="36"/>
      <c r="F269" s="36"/>
      <c r="G269" s="36"/>
      <c r="H269" s="36"/>
      <c r="I269" s="36"/>
      <c r="J269" s="36"/>
      <c r="K269" s="37">
        <v>6.7000000000000004E-2</v>
      </c>
      <c r="L269" s="37">
        <f>ROUND(11.68,3)</f>
        <v>11.68</v>
      </c>
      <c r="M269" s="38">
        <f t="shared" si="11"/>
        <v>0.78</v>
      </c>
    </row>
    <row r="270" spans="1:13" ht="15.2" customHeight="1">
      <c r="A270" s="35" t="s">
        <v>454</v>
      </c>
      <c r="B270" s="35" t="s">
        <v>455</v>
      </c>
      <c r="C270" s="35" t="s">
        <v>456</v>
      </c>
      <c r="D270" s="36" t="s">
        <v>457</v>
      </c>
      <c r="E270" s="36"/>
      <c r="F270" s="36"/>
      <c r="G270" s="36"/>
      <c r="H270" s="36"/>
      <c r="I270" s="36"/>
      <c r="J270" s="36"/>
      <c r="K270" s="37">
        <v>0.13200000000000001</v>
      </c>
      <c r="L270" s="37">
        <f>ROUND(20.33,3)</f>
        <v>20.329999999999998</v>
      </c>
      <c r="M270" s="38">
        <f t="shared" si="11"/>
        <v>2.68</v>
      </c>
    </row>
    <row r="271" spans="1:13" ht="15.2" customHeight="1">
      <c r="A271" s="35" t="s">
        <v>458</v>
      </c>
      <c r="B271" s="35" t="s">
        <v>455</v>
      </c>
      <c r="C271" s="35" t="s">
        <v>456</v>
      </c>
      <c r="D271" s="36" t="s">
        <v>459</v>
      </c>
      <c r="E271" s="36"/>
      <c r="F271" s="36"/>
      <c r="G271" s="36"/>
      <c r="H271" s="36"/>
      <c r="I271" s="36"/>
      <c r="J271" s="36"/>
      <c r="K271" s="37">
        <v>0.13200000000000001</v>
      </c>
      <c r="L271" s="37">
        <f>ROUND(17.32,3)</f>
        <v>17.32</v>
      </c>
      <c r="M271" s="38">
        <f t="shared" si="11"/>
        <v>2.29</v>
      </c>
    </row>
    <row r="272" spans="1:13" ht="15.2" customHeight="1">
      <c r="A272" s="35" t="s">
        <v>460</v>
      </c>
      <c r="B272" s="35"/>
      <c r="C272" s="35" t="s">
        <v>460</v>
      </c>
      <c r="D272" s="36" t="s">
        <v>461</v>
      </c>
      <c r="E272" s="36"/>
      <c r="F272" s="36"/>
      <c r="G272" s="36"/>
      <c r="H272" s="36"/>
      <c r="I272" s="36"/>
      <c r="J272" s="36"/>
      <c r="K272" s="37">
        <v>2</v>
      </c>
      <c r="L272" s="37">
        <f>ROUND(30.94,3)</f>
        <v>30.94</v>
      </c>
      <c r="M272" s="38">
        <f>ROUND((K272*L272)/100,2)</f>
        <v>0.62</v>
      </c>
    </row>
    <row r="273" spans="1:13" ht="15.4" customHeight="1">
      <c r="A273" s="52"/>
      <c r="B273" s="52"/>
      <c r="C273" s="52"/>
      <c r="D273" s="53" t="s">
        <v>643</v>
      </c>
      <c r="E273" s="52"/>
      <c r="F273" s="52"/>
      <c r="G273" s="52"/>
      <c r="H273" s="52"/>
      <c r="I273" s="52"/>
      <c r="J273" s="52"/>
      <c r="K273" s="54">
        <v>108.864</v>
      </c>
      <c r="L273" s="55">
        <f>ROUND((M266+M267+M268+M269+M270+M271+M272)*(1+M2/100),2)</f>
        <v>32.51</v>
      </c>
      <c r="M273" s="55">
        <f>ROUND(K273*L273,2)</f>
        <v>3539.17</v>
      </c>
    </row>
    <row r="274" spans="1:13" ht="15.4" customHeight="1">
      <c r="A274" s="56" t="s">
        <v>644</v>
      </c>
      <c r="B274" s="57" t="s">
        <v>431</v>
      </c>
      <c r="C274" s="57" t="s">
        <v>422</v>
      </c>
      <c r="D274" s="58" t="s">
        <v>579</v>
      </c>
      <c r="E274" s="58"/>
      <c r="F274" s="58"/>
      <c r="G274" s="58"/>
      <c r="H274" s="58"/>
      <c r="I274" s="58"/>
      <c r="J274" s="58"/>
      <c r="K274" s="59">
        <f>SUM(K277:K278)</f>
        <v>4</v>
      </c>
      <c r="L274" s="60">
        <f>L284</f>
        <v>27.24</v>
      </c>
      <c r="M274" s="60">
        <f>ROUND(K274*L274,2)</f>
        <v>108.96</v>
      </c>
    </row>
    <row r="275" spans="1:13" ht="49.15" customHeight="1">
      <c r="A275" s="39"/>
      <c r="B275" s="39"/>
      <c r="C275" s="39"/>
      <c r="D275" s="36" t="s">
        <v>580</v>
      </c>
      <c r="E275" s="36"/>
      <c r="F275" s="36"/>
      <c r="G275" s="36"/>
      <c r="H275" s="36"/>
      <c r="I275" s="36"/>
      <c r="J275" s="36"/>
      <c r="K275" s="36"/>
      <c r="L275" s="36"/>
      <c r="M275" s="36"/>
    </row>
    <row r="276" spans="1:13" ht="15.2" customHeight="1">
      <c r="A276" s="39"/>
      <c r="B276" s="39"/>
      <c r="C276" s="39"/>
      <c r="D276" s="39"/>
      <c r="E276" s="40"/>
      <c r="F276" s="41" t="s">
        <v>434</v>
      </c>
      <c r="G276" s="41" t="s">
        <v>435</v>
      </c>
      <c r="H276" s="41" t="s">
        <v>436</v>
      </c>
      <c r="I276" s="41" t="s">
        <v>437</v>
      </c>
      <c r="J276" s="41" t="s">
        <v>438</v>
      </c>
      <c r="K276" s="41" t="s">
        <v>439</v>
      </c>
      <c r="L276" s="39"/>
      <c r="M276" s="39"/>
    </row>
    <row r="277" spans="1:13" ht="30.6" customHeight="1">
      <c r="A277" s="39"/>
      <c r="B277" s="39"/>
      <c r="C277" s="39"/>
      <c r="D277" s="42"/>
      <c r="E277" s="43" t="s">
        <v>581</v>
      </c>
      <c r="F277" s="44">
        <v>2</v>
      </c>
      <c r="G277" s="45"/>
      <c r="H277" s="45"/>
      <c r="I277" s="45"/>
      <c r="J277" s="46">
        <f>ROUND(F277,3)</f>
        <v>2</v>
      </c>
      <c r="K277" s="48"/>
      <c r="L277" s="39"/>
      <c r="M277" s="39"/>
    </row>
    <row r="278" spans="1:13" ht="30.6" customHeight="1">
      <c r="A278" s="39"/>
      <c r="B278" s="39"/>
      <c r="C278" s="39"/>
      <c r="D278" s="42"/>
      <c r="E278" s="35" t="s">
        <v>582</v>
      </c>
      <c r="F278" s="49">
        <v>2</v>
      </c>
      <c r="G278" s="37"/>
      <c r="H278" s="37"/>
      <c r="I278" s="37"/>
      <c r="J278" s="50">
        <f>ROUND(F278,3)</f>
        <v>2</v>
      </c>
      <c r="K278" s="51">
        <f>SUM(J277:J278)</f>
        <v>4</v>
      </c>
      <c r="L278" s="39"/>
      <c r="M278" s="39"/>
    </row>
    <row r="279" spans="1:13" ht="15.2" customHeight="1">
      <c r="A279" s="35" t="s">
        <v>583</v>
      </c>
      <c r="B279" s="35" t="s">
        <v>451</v>
      </c>
      <c r="C279" s="35" t="s">
        <v>422</v>
      </c>
      <c r="D279" s="36" t="s">
        <v>579</v>
      </c>
      <c r="E279" s="36"/>
      <c r="F279" s="36"/>
      <c r="G279" s="36"/>
      <c r="H279" s="36"/>
      <c r="I279" s="36"/>
      <c r="J279" s="36"/>
      <c r="K279" s="37">
        <v>1</v>
      </c>
      <c r="L279" s="37">
        <f>ROUND(21.57,3)</f>
        <v>21.57</v>
      </c>
      <c r="M279" s="38">
        <f>ROUND(K279*L279,2)</f>
        <v>21.57</v>
      </c>
    </row>
    <row r="280" spans="1:13" ht="15.2" customHeight="1">
      <c r="A280" s="35" t="s">
        <v>452</v>
      </c>
      <c r="B280" s="35" t="s">
        <v>451</v>
      </c>
      <c r="C280" s="35" t="s">
        <v>422</v>
      </c>
      <c r="D280" s="36" t="s">
        <v>453</v>
      </c>
      <c r="E280" s="36"/>
      <c r="F280" s="36"/>
      <c r="G280" s="36"/>
      <c r="H280" s="36"/>
      <c r="I280" s="36"/>
      <c r="J280" s="36"/>
      <c r="K280" s="37">
        <v>0.1</v>
      </c>
      <c r="L280" s="37">
        <f>ROUND(2.1,3)</f>
        <v>2.1</v>
      </c>
      <c r="M280" s="38">
        <f>ROUND(K280*L280,2)</f>
        <v>0.21</v>
      </c>
    </row>
    <row r="281" spans="1:13" ht="15.2" customHeight="1">
      <c r="A281" s="35" t="s">
        <v>454</v>
      </c>
      <c r="B281" s="35" t="s">
        <v>455</v>
      </c>
      <c r="C281" s="35" t="s">
        <v>456</v>
      </c>
      <c r="D281" s="36" t="s">
        <v>457</v>
      </c>
      <c r="E281" s="36"/>
      <c r="F281" s="36"/>
      <c r="G281" s="36"/>
      <c r="H281" s="36"/>
      <c r="I281" s="36"/>
      <c r="J281" s="36"/>
      <c r="K281" s="37">
        <v>0.11</v>
      </c>
      <c r="L281" s="37">
        <f>ROUND(20.33,3)</f>
        <v>20.329999999999998</v>
      </c>
      <c r="M281" s="38">
        <f>ROUND(K281*L281,2)</f>
        <v>2.2400000000000002</v>
      </c>
    </row>
    <row r="282" spans="1:13" ht="15.2" customHeight="1">
      <c r="A282" s="35" t="s">
        <v>458</v>
      </c>
      <c r="B282" s="35" t="s">
        <v>455</v>
      </c>
      <c r="C282" s="35" t="s">
        <v>456</v>
      </c>
      <c r="D282" s="36" t="s">
        <v>459</v>
      </c>
      <c r="E282" s="36"/>
      <c r="F282" s="36"/>
      <c r="G282" s="36"/>
      <c r="H282" s="36"/>
      <c r="I282" s="36"/>
      <c r="J282" s="36"/>
      <c r="K282" s="37">
        <v>0.11</v>
      </c>
      <c r="L282" s="37">
        <f>ROUND(17.32,3)</f>
        <v>17.32</v>
      </c>
      <c r="M282" s="38">
        <f>ROUND(K282*L282,2)</f>
        <v>1.91</v>
      </c>
    </row>
    <row r="283" spans="1:13" ht="15.2" customHeight="1">
      <c r="A283" s="35" t="s">
        <v>460</v>
      </c>
      <c r="B283" s="35"/>
      <c r="C283" s="35" t="s">
        <v>460</v>
      </c>
      <c r="D283" s="36" t="s">
        <v>461</v>
      </c>
      <c r="E283" s="36"/>
      <c r="F283" s="36"/>
      <c r="G283" s="36"/>
      <c r="H283" s="36"/>
      <c r="I283" s="36"/>
      <c r="J283" s="36"/>
      <c r="K283" s="37">
        <v>2</v>
      </c>
      <c r="L283" s="37">
        <f>ROUND(25.93,3)</f>
        <v>25.93</v>
      </c>
      <c r="M283" s="38">
        <f>ROUND((K283*L283)/100,2)</f>
        <v>0.52</v>
      </c>
    </row>
    <row r="284" spans="1:13" ht="15.4" customHeight="1">
      <c r="A284" s="52"/>
      <c r="B284" s="52"/>
      <c r="C284" s="52"/>
      <c r="D284" s="53" t="s">
        <v>644</v>
      </c>
      <c r="E284" s="52"/>
      <c r="F284" s="52"/>
      <c r="G284" s="52"/>
      <c r="H284" s="52"/>
      <c r="I284" s="52"/>
      <c r="J284" s="52"/>
      <c r="K284" s="54">
        <v>4</v>
      </c>
      <c r="L284" s="55">
        <f>ROUND((M279+M280+M281+M282+M283)*(1+M2/100),2)</f>
        <v>27.24</v>
      </c>
      <c r="M284" s="55">
        <f>ROUND(K284*L284,2)</f>
        <v>108.96</v>
      </c>
    </row>
    <row r="285" spans="1:13" ht="15.4" customHeight="1">
      <c r="A285" s="56" t="s">
        <v>584</v>
      </c>
      <c r="B285" s="57" t="s">
        <v>431</v>
      </c>
      <c r="C285" s="57" t="s">
        <v>3</v>
      </c>
      <c r="D285" s="58" t="s">
        <v>585</v>
      </c>
      <c r="E285" s="58"/>
      <c r="F285" s="58"/>
      <c r="G285" s="58"/>
      <c r="H285" s="58"/>
      <c r="I285" s="58"/>
      <c r="J285" s="58"/>
      <c r="K285" s="59">
        <f>SUM(K288:K288)</f>
        <v>2</v>
      </c>
      <c r="L285" s="60">
        <f>ROUND(385*(1+M2/100),2)</f>
        <v>396.55</v>
      </c>
      <c r="M285" s="60">
        <f>ROUND(K285*L285,2)</f>
        <v>793.1</v>
      </c>
    </row>
    <row r="286" spans="1:13" ht="12.2" customHeight="1">
      <c r="A286" s="39"/>
      <c r="B286" s="39"/>
      <c r="C286" s="39"/>
      <c r="D286" s="36" t="s">
        <v>586</v>
      </c>
      <c r="E286" s="36"/>
      <c r="F286" s="36"/>
      <c r="G286" s="36"/>
      <c r="H286" s="36"/>
      <c r="I286" s="36"/>
      <c r="J286" s="36"/>
      <c r="K286" s="36"/>
      <c r="L286" s="36"/>
      <c r="M286" s="36"/>
    </row>
    <row r="287" spans="1:13" ht="15.2" customHeight="1">
      <c r="A287" s="39"/>
      <c r="B287" s="39"/>
      <c r="C287" s="39"/>
      <c r="D287" s="39"/>
      <c r="E287" s="40"/>
      <c r="F287" s="41" t="s">
        <v>434</v>
      </c>
      <c r="G287" s="41" t="s">
        <v>435</v>
      </c>
      <c r="H287" s="41" t="s">
        <v>436</v>
      </c>
      <c r="I287" s="41" t="s">
        <v>437</v>
      </c>
      <c r="J287" s="41" t="s">
        <v>438</v>
      </c>
      <c r="K287" s="41" t="s">
        <v>439</v>
      </c>
      <c r="L287" s="39"/>
      <c r="M287" s="39"/>
    </row>
    <row r="288" spans="1:13" ht="21.4" customHeight="1">
      <c r="A288" s="39"/>
      <c r="B288" s="39"/>
      <c r="C288" s="39"/>
      <c r="D288" s="42"/>
      <c r="E288" s="43" t="s">
        <v>587</v>
      </c>
      <c r="F288" s="44">
        <v>2</v>
      </c>
      <c r="G288" s="45"/>
      <c r="H288" s="45"/>
      <c r="I288" s="45"/>
      <c r="J288" s="46">
        <f>ROUND(F288,3)</f>
        <v>2</v>
      </c>
      <c r="K288" s="47">
        <f>SUM(J288:J288)</f>
        <v>2</v>
      </c>
      <c r="L288" s="39"/>
      <c r="M288" s="39"/>
    </row>
    <row r="289" spans="1:13" ht="15.4" customHeight="1">
      <c r="A289" s="34" t="s">
        <v>588</v>
      </c>
      <c r="B289" s="35" t="s">
        <v>431</v>
      </c>
      <c r="C289" s="35" t="s">
        <v>3</v>
      </c>
      <c r="D289" s="36" t="s">
        <v>589</v>
      </c>
      <c r="E289" s="36"/>
      <c r="F289" s="36"/>
      <c r="G289" s="36"/>
      <c r="H289" s="36"/>
      <c r="I289" s="36"/>
      <c r="J289" s="36"/>
      <c r="K289" s="37">
        <f>SUM(K292:K293)</f>
        <v>2</v>
      </c>
      <c r="L289" s="38">
        <f>L299</f>
        <v>1229.6199999999999</v>
      </c>
      <c r="M289" s="38">
        <f>ROUND(K289*L289,2)</f>
        <v>2459.2399999999998</v>
      </c>
    </row>
    <row r="290" spans="1:13" ht="12.2" customHeight="1">
      <c r="A290" s="39"/>
      <c r="B290" s="39"/>
      <c r="C290" s="39"/>
      <c r="D290" s="36" t="s">
        <v>590</v>
      </c>
      <c r="E290" s="36"/>
      <c r="F290" s="36"/>
      <c r="G290" s="36"/>
      <c r="H290" s="36"/>
      <c r="I290" s="36"/>
      <c r="J290" s="36"/>
      <c r="K290" s="36"/>
      <c r="L290" s="36"/>
      <c r="M290" s="36"/>
    </row>
    <row r="291" spans="1:13" ht="15.2" customHeight="1">
      <c r="A291" s="39"/>
      <c r="B291" s="39"/>
      <c r="C291" s="39"/>
      <c r="D291" s="39"/>
      <c r="E291" s="40"/>
      <c r="F291" s="41" t="s">
        <v>434</v>
      </c>
      <c r="G291" s="41" t="s">
        <v>435</v>
      </c>
      <c r="H291" s="41" t="s">
        <v>436</v>
      </c>
      <c r="I291" s="41" t="s">
        <v>437</v>
      </c>
      <c r="J291" s="41" t="s">
        <v>438</v>
      </c>
      <c r="K291" s="41" t="s">
        <v>439</v>
      </c>
      <c r="L291" s="39"/>
      <c r="M291" s="39"/>
    </row>
    <row r="292" spans="1:13" ht="15.2" customHeight="1">
      <c r="A292" s="39"/>
      <c r="B292" s="39"/>
      <c r="C292" s="39"/>
      <c r="D292" s="42"/>
      <c r="E292" s="43" t="s">
        <v>645</v>
      </c>
      <c r="F292" s="44">
        <v>1</v>
      </c>
      <c r="G292" s="45"/>
      <c r="H292" s="45"/>
      <c r="I292" s="45"/>
      <c r="J292" s="46">
        <f>ROUND(F292,3)</f>
        <v>1</v>
      </c>
      <c r="K292" s="48"/>
      <c r="L292" s="39"/>
      <c r="M292" s="39"/>
    </row>
    <row r="293" spans="1:13" ht="15.2" customHeight="1">
      <c r="A293" s="39"/>
      <c r="B293" s="39"/>
      <c r="C293" s="39"/>
      <c r="D293" s="42"/>
      <c r="E293" s="35" t="s">
        <v>646</v>
      </c>
      <c r="F293" s="49">
        <v>1</v>
      </c>
      <c r="G293" s="37"/>
      <c r="H293" s="37"/>
      <c r="I293" s="37"/>
      <c r="J293" s="50">
        <f>ROUND(F293,3)</f>
        <v>1</v>
      </c>
      <c r="K293" s="51">
        <f>SUM(J292:J293)</f>
        <v>2</v>
      </c>
      <c r="L293" s="39"/>
      <c r="M293" s="39"/>
    </row>
    <row r="294" spans="1:13" ht="15.2" customHeight="1">
      <c r="A294" s="35" t="s">
        <v>529</v>
      </c>
      <c r="B294" s="35" t="s">
        <v>455</v>
      </c>
      <c r="C294" s="35" t="s">
        <v>456</v>
      </c>
      <c r="D294" s="36" t="s">
        <v>530</v>
      </c>
      <c r="E294" s="36"/>
      <c r="F294" s="36"/>
      <c r="G294" s="36"/>
      <c r="H294" s="36"/>
      <c r="I294" s="36"/>
      <c r="J294" s="36"/>
      <c r="K294" s="37">
        <v>3</v>
      </c>
      <c r="L294" s="37">
        <f>ROUND(17.32,3)</f>
        <v>17.32</v>
      </c>
      <c r="M294" s="38">
        <f t="shared" ref="M294:M300" si="12">ROUND(K294*L294,2)</f>
        <v>51.96</v>
      </c>
    </row>
    <row r="295" spans="1:13" ht="15.2" customHeight="1">
      <c r="A295" s="35" t="s">
        <v>527</v>
      </c>
      <c r="B295" s="35" t="s">
        <v>455</v>
      </c>
      <c r="C295" s="35" t="s">
        <v>456</v>
      </c>
      <c r="D295" s="36" t="s">
        <v>528</v>
      </c>
      <c r="E295" s="36"/>
      <c r="F295" s="36"/>
      <c r="G295" s="36"/>
      <c r="H295" s="36"/>
      <c r="I295" s="36"/>
      <c r="J295" s="36"/>
      <c r="K295" s="37">
        <v>3</v>
      </c>
      <c r="L295" s="37">
        <f>ROUND(20.33,3)</f>
        <v>20.329999999999998</v>
      </c>
      <c r="M295" s="38">
        <f t="shared" si="12"/>
        <v>60.99</v>
      </c>
    </row>
    <row r="296" spans="1:13" ht="21.4" customHeight="1">
      <c r="A296" s="35" t="s">
        <v>531</v>
      </c>
      <c r="B296" s="35" t="s">
        <v>451</v>
      </c>
      <c r="C296" s="35" t="s">
        <v>56</v>
      </c>
      <c r="D296" s="36" t="s">
        <v>532</v>
      </c>
      <c r="E296" s="36"/>
      <c r="F296" s="36"/>
      <c r="G296" s="36"/>
      <c r="H296" s="36"/>
      <c r="I296" s="36"/>
      <c r="J296" s="36"/>
      <c r="K296" s="37">
        <v>3</v>
      </c>
      <c r="L296" s="37">
        <f>ROUND(0.4,3)</f>
        <v>0.4</v>
      </c>
      <c r="M296" s="38">
        <f t="shared" si="12"/>
        <v>1.2</v>
      </c>
    </row>
    <row r="297" spans="1:13" ht="15.2" customHeight="1">
      <c r="A297" s="35" t="s">
        <v>593</v>
      </c>
      <c r="B297" s="35" t="s">
        <v>451</v>
      </c>
      <c r="C297" s="35" t="s">
        <v>422</v>
      </c>
      <c r="D297" s="36" t="s">
        <v>594</v>
      </c>
      <c r="E297" s="36"/>
      <c r="F297" s="36"/>
      <c r="G297" s="36"/>
      <c r="H297" s="36"/>
      <c r="I297" s="36"/>
      <c r="J297" s="36"/>
      <c r="K297" s="37">
        <v>1</v>
      </c>
      <c r="L297" s="37">
        <f>ROUND(1039,3)</f>
        <v>1039</v>
      </c>
      <c r="M297" s="38">
        <f t="shared" si="12"/>
        <v>1039</v>
      </c>
    </row>
    <row r="298" spans="1:13" ht="15.2" customHeight="1">
      <c r="A298" s="35" t="s">
        <v>493</v>
      </c>
      <c r="B298" s="35" t="s">
        <v>455</v>
      </c>
      <c r="C298" s="35" t="s">
        <v>456</v>
      </c>
      <c r="D298" s="36" t="s">
        <v>494</v>
      </c>
      <c r="E298" s="36"/>
      <c r="F298" s="36"/>
      <c r="G298" s="36"/>
      <c r="H298" s="36"/>
      <c r="I298" s="36"/>
      <c r="J298" s="36"/>
      <c r="K298" s="37">
        <v>2</v>
      </c>
      <c r="L298" s="37">
        <f>ROUND(20.33,3)</f>
        <v>20.329999999999998</v>
      </c>
      <c r="M298" s="38">
        <f t="shared" si="12"/>
        <v>40.659999999999997</v>
      </c>
    </row>
    <row r="299" spans="1:13" ht="15.4" customHeight="1">
      <c r="A299" s="52"/>
      <c r="B299" s="52"/>
      <c r="C299" s="52"/>
      <c r="D299" s="53" t="s">
        <v>588</v>
      </c>
      <c r="E299" s="52"/>
      <c r="F299" s="52"/>
      <c r="G299" s="52"/>
      <c r="H299" s="52"/>
      <c r="I299" s="52"/>
      <c r="J299" s="52"/>
      <c r="K299" s="54">
        <v>2</v>
      </c>
      <c r="L299" s="55">
        <f>ROUND((M294+M295+M296+M297+M298)*(1+M2/100),2)</f>
        <v>1229.6199999999999</v>
      </c>
      <c r="M299" s="55">
        <f t="shared" si="12"/>
        <v>2459.2399999999998</v>
      </c>
    </row>
    <row r="300" spans="1:13" ht="15.4" customHeight="1">
      <c r="A300" s="56" t="s">
        <v>647</v>
      </c>
      <c r="B300" s="57" t="s">
        <v>431</v>
      </c>
      <c r="C300" s="57" t="s">
        <v>534</v>
      </c>
      <c r="D300" s="58" t="s">
        <v>535</v>
      </c>
      <c r="E300" s="58"/>
      <c r="F300" s="58"/>
      <c r="G300" s="58"/>
      <c r="H300" s="58"/>
      <c r="I300" s="58"/>
      <c r="J300" s="58"/>
      <c r="K300" s="59">
        <f>SUM(K303:K303)</f>
        <v>200</v>
      </c>
      <c r="L300" s="60">
        <f>L311</f>
        <v>6.65</v>
      </c>
      <c r="M300" s="60">
        <f t="shared" si="12"/>
        <v>1330</v>
      </c>
    </row>
    <row r="301" spans="1:13" ht="76.900000000000006" customHeight="1">
      <c r="A301" s="39"/>
      <c r="B301" s="39"/>
      <c r="C301" s="39"/>
      <c r="D301" s="36" t="s">
        <v>536</v>
      </c>
      <c r="E301" s="36"/>
      <c r="F301" s="36"/>
      <c r="G301" s="36"/>
      <c r="H301" s="36"/>
      <c r="I301" s="36"/>
      <c r="J301" s="36"/>
      <c r="K301" s="36"/>
      <c r="L301" s="36"/>
      <c r="M301" s="36"/>
    </row>
    <row r="302" spans="1:13" ht="15.2" customHeight="1">
      <c r="A302" s="39"/>
      <c r="B302" s="39"/>
      <c r="C302" s="39"/>
      <c r="D302" s="39"/>
      <c r="E302" s="40"/>
      <c r="F302" s="41" t="s">
        <v>434</v>
      </c>
      <c r="G302" s="41" t="s">
        <v>435</v>
      </c>
      <c r="H302" s="41" t="s">
        <v>436</v>
      </c>
      <c r="I302" s="41" t="s">
        <v>437</v>
      </c>
      <c r="J302" s="41" t="s">
        <v>438</v>
      </c>
      <c r="K302" s="41" t="s">
        <v>439</v>
      </c>
      <c r="L302" s="39"/>
      <c r="M302" s="39"/>
    </row>
    <row r="303" spans="1:13" ht="15.2" customHeight="1">
      <c r="A303" s="39"/>
      <c r="B303" s="39"/>
      <c r="C303" s="39"/>
      <c r="D303" s="42"/>
      <c r="E303" s="43"/>
      <c r="F303" s="44">
        <v>200</v>
      </c>
      <c r="G303" s="45"/>
      <c r="H303" s="45"/>
      <c r="I303" s="45"/>
      <c r="J303" s="46">
        <f>ROUND(F303,3)</f>
        <v>200</v>
      </c>
      <c r="K303" s="47">
        <f>SUM(J303:J303)</f>
        <v>200</v>
      </c>
      <c r="L303" s="39"/>
      <c r="M303" s="39"/>
    </row>
    <row r="304" spans="1:13" ht="15.2" customHeight="1">
      <c r="A304" s="35" t="s">
        <v>537</v>
      </c>
      <c r="B304" s="35" t="s">
        <v>451</v>
      </c>
      <c r="C304" s="35" t="s">
        <v>538</v>
      </c>
      <c r="D304" s="36" t="s">
        <v>539</v>
      </c>
      <c r="E304" s="36"/>
      <c r="F304" s="36"/>
      <c r="G304" s="36"/>
      <c r="H304" s="36"/>
      <c r="I304" s="36"/>
      <c r="J304" s="36"/>
      <c r="K304" s="37">
        <v>1.4999999999999999E-2</v>
      </c>
      <c r="L304" s="37">
        <f>ROUND(78.89,3)</f>
        <v>78.89</v>
      </c>
      <c r="M304" s="38">
        <f t="shared" ref="M304:M309" si="13">ROUND(K304*L304,2)</f>
        <v>1.18</v>
      </c>
    </row>
    <row r="305" spans="1:13" ht="15.2" customHeight="1">
      <c r="A305" s="35" t="s">
        <v>540</v>
      </c>
      <c r="B305" s="35" t="s">
        <v>451</v>
      </c>
      <c r="C305" s="35" t="s">
        <v>538</v>
      </c>
      <c r="D305" s="36" t="s">
        <v>541</v>
      </c>
      <c r="E305" s="36"/>
      <c r="F305" s="36"/>
      <c r="G305" s="36"/>
      <c r="H305" s="36"/>
      <c r="I305" s="36"/>
      <c r="J305" s="36"/>
      <c r="K305" s="37">
        <v>6.0000000000000001E-3</v>
      </c>
      <c r="L305" s="37">
        <f>ROUND(1.5,3)</f>
        <v>1.5</v>
      </c>
      <c r="M305" s="38">
        <f t="shared" si="13"/>
        <v>0.01</v>
      </c>
    </row>
    <row r="306" spans="1:13" ht="21.4" customHeight="1">
      <c r="A306" s="35" t="s">
        <v>542</v>
      </c>
      <c r="B306" s="35" t="s">
        <v>451</v>
      </c>
      <c r="C306" s="35" t="s">
        <v>543</v>
      </c>
      <c r="D306" s="36" t="s">
        <v>544</v>
      </c>
      <c r="E306" s="36"/>
      <c r="F306" s="36"/>
      <c r="G306" s="36"/>
      <c r="H306" s="36"/>
      <c r="I306" s="36"/>
      <c r="J306" s="36"/>
      <c r="K306" s="37">
        <v>1.9E-2</v>
      </c>
      <c r="L306" s="37">
        <f>ROUND(36.25,3)</f>
        <v>36.25</v>
      </c>
      <c r="M306" s="38">
        <f t="shared" si="13"/>
        <v>0.69</v>
      </c>
    </row>
    <row r="307" spans="1:13" ht="15.2" customHeight="1">
      <c r="A307" s="35" t="s">
        <v>545</v>
      </c>
      <c r="B307" s="35" t="s">
        <v>525</v>
      </c>
      <c r="C307" s="35" t="s">
        <v>456</v>
      </c>
      <c r="D307" s="36" t="s">
        <v>546</v>
      </c>
      <c r="E307" s="36"/>
      <c r="F307" s="36"/>
      <c r="G307" s="36"/>
      <c r="H307" s="36"/>
      <c r="I307" s="36"/>
      <c r="J307" s="36"/>
      <c r="K307" s="37">
        <v>5.0000000000000001E-3</v>
      </c>
      <c r="L307" s="37">
        <f>ROUND(25,3)</f>
        <v>25</v>
      </c>
      <c r="M307" s="38">
        <f t="shared" si="13"/>
        <v>0.13</v>
      </c>
    </row>
    <row r="308" spans="1:13" ht="15.2" customHeight="1">
      <c r="A308" s="35" t="s">
        <v>547</v>
      </c>
      <c r="B308" s="35" t="s">
        <v>455</v>
      </c>
      <c r="C308" s="35" t="s">
        <v>456</v>
      </c>
      <c r="D308" s="36" t="s">
        <v>548</v>
      </c>
      <c r="E308" s="36"/>
      <c r="F308" s="36"/>
      <c r="G308" s="36"/>
      <c r="H308" s="36"/>
      <c r="I308" s="36"/>
      <c r="J308" s="36"/>
      <c r="K308" s="37">
        <v>7.0000000000000007E-2</v>
      </c>
      <c r="L308" s="37">
        <f>ROUND(20.09,3)</f>
        <v>20.09</v>
      </c>
      <c r="M308" s="38">
        <f t="shared" si="13"/>
        <v>1.41</v>
      </c>
    </row>
    <row r="309" spans="1:13" ht="15.2" customHeight="1">
      <c r="A309" s="35" t="s">
        <v>549</v>
      </c>
      <c r="B309" s="35" t="s">
        <v>455</v>
      </c>
      <c r="C309" s="35" t="s">
        <v>456</v>
      </c>
      <c r="D309" s="36" t="s">
        <v>550</v>
      </c>
      <c r="E309" s="36"/>
      <c r="F309" s="36"/>
      <c r="G309" s="36"/>
      <c r="H309" s="36"/>
      <c r="I309" s="36"/>
      <c r="J309" s="36"/>
      <c r="K309" s="37">
        <v>0.17599999999999999</v>
      </c>
      <c r="L309" s="37">
        <f>ROUND(15.88,3)</f>
        <v>15.88</v>
      </c>
      <c r="M309" s="38">
        <f t="shared" si="13"/>
        <v>2.79</v>
      </c>
    </row>
    <row r="310" spans="1:13" ht="15.2" customHeight="1">
      <c r="A310" s="35" t="s">
        <v>460</v>
      </c>
      <c r="B310" s="35"/>
      <c r="C310" s="35" t="s">
        <v>460</v>
      </c>
      <c r="D310" s="36" t="s">
        <v>461</v>
      </c>
      <c r="E310" s="36"/>
      <c r="F310" s="36"/>
      <c r="G310" s="36"/>
      <c r="H310" s="36"/>
      <c r="I310" s="36"/>
      <c r="J310" s="36"/>
      <c r="K310" s="37">
        <v>4</v>
      </c>
      <c r="L310" s="37">
        <f>ROUND(6.21,3)</f>
        <v>6.21</v>
      </c>
      <c r="M310" s="38">
        <f>ROUND((K310*L310)/100,2)</f>
        <v>0.25</v>
      </c>
    </row>
    <row r="311" spans="1:13" ht="15.4" customHeight="1">
      <c r="A311" s="52"/>
      <c r="B311" s="52"/>
      <c r="C311" s="52"/>
      <c r="D311" s="53" t="s">
        <v>647</v>
      </c>
      <c r="E311" s="52"/>
      <c r="F311" s="52"/>
      <c r="G311" s="52"/>
      <c r="H311" s="52"/>
      <c r="I311" s="52"/>
      <c r="J311" s="52"/>
      <c r="K311" s="54">
        <v>200</v>
      </c>
      <c r="L311" s="55">
        <f>ROUND((M304+M305+M306+M307+M308+M309+M310)*(1+M2/100),2)</f>
        <v>6.65</v>
      </c>
      <c r="M311" s="55">
        <f>ROUND(K311*L311,2)</f>
        <v>1330</v>
      </c>
    </row>
    <row r="312" spans="1:13" ht="15.4" customHeight="1">
      <c r="A312" s="56" t="s">
        <v>596</v>
      </c>
      <c r="B312" s="57" t="s">
        <v>431</v>
      </c>
      <c r="C312" s="57" t="s">
        <v>3</v>
      </c>
      <c r="D312" s="58" t="s">
        <v>597</v>
      </c>
      <c r="E312" s="58"/>
      <c r="F312" s="58"/>
      <c r="G312" s="58"/>
      <c r="H312" s="58"/>
      <c r="I312" s="58"/>
      <c r="J312" s="58"/>
      <c r="K312" s="59">
        <f>SUM(K315:K315)</f>
        <v>2</v>
      </c>
      <c r="L312" s="60">
        <f>ROUND(560*(1+M2/100),2)</f>
        <v>576.79999999999995</v>
      </c>
      <c r="M312" s="60">
        <f>ROUND(K312*L312,2)</f>
        <v>1153.5999999999999</v>
      </c>
    </row>
    <row r="313" spans="1:13" ht="12.2" customHeight="1">
      <c r="A313" s="39"/>
      <c r="B313" s="39"/>
      <c r="C313" s="39"/>
      <c r="D313" s="36" t="s">
        <v>597</v>
      </c>
      <c r="E313" s="36"/>
      <c r="F313" s="36"/>
      <c r="G313" s="36"/>
      <c r="H313" s="36"/>
      <c r="I313" s="36"/>
      <c r="J313" s="36"/>
      <c r="K313" s="36"/>
      <c r="L313" s="36"/>
      <c r="M313" s="36"/>
    </row>
    <row r="314" spans="1:13" ht="15.2" customHeight="1">
      <c r="A314" s="39"/>
      <c r="B314" s="39"/>
      <c r="C314" s="39"/>
      <c r="D314" s="39"/>
      <c r="E314" s="40"/>
      <c r="F314" s="41" t="s">
        <v>434</v>
      </c>
      <c r="G314" s="41" t="s">
        <v>435</v>
      </c>
      <c r="H314" s="41" t="s">
        <v>436</v>
      </c>
      <c r="I314" s="41" t="s">
        <v>437</v>
      </c>
      <c r="J314" s="41" t="s">
        <v>438</v>
      </c>
      <c r="K314" s="41" t="s">
        <v>439</v>
      </c>
      <c r="L314" s="39"/>
      <c r="M314" s="39"/>
    </row>
    <row r="315" spans="1:13" ht="15.2" customHeight="1">
      <c r="A315" s="39"/>
      <c r="B315" s="39"/>
      <c r="C315" s="39"/>
      <c r="D315" s="42"/>
      <c r="E315" s="43"/>
      <c r="F315" s="44">
        <v>2</v>
      </c>
      <c r="G315" s="45"/>
      <c r="H315" s="45"/>
      <c r="I315" s="45"/>
      <c r="J315" s="46">
        <f>ROUND(F315,3)</f>
        <v>2</v>
      </c>
      <c r="K315" s="47">
        <f>SUM(J315:J315)</f>
        <v>2</v>
      </c>
      <c r="L315" s="39"/>
      <c r="M315" s="39"/>
    </row>
    <row r="316" spans="1:13" ht="30.6" customHeight="1">
      <c r="A316" s="34" t="s">
        <v>648</v>
      </c>
      <c r="B316" s="35" t="s">
        <v>431</v>
      </c>
      <c r="C316" s="35" t="s">
        <v>56</v>
      </c>
      <c r="D316" s="36" t="s">
        <v>599</v>
      </c>
      <c r="E316" s="36"/>
      <c r="F316" s="36"/>
      <c r="G316" s="36"/>
      <c r="H316" s="36"/>
      <c r="I316" s="36"/>
      <c r="J316" s="36"/>
      <c r="K316" s="37">
        <f>SUM(K319:K319)</f>
        <v>108.864</v>
      </c>
      <c r="L316" s="38">
        <f>L325</f>
        <v>42.23</v>
      </c>
      <c r="M316" s="38">
        <f>ROUND(K316*L316,2)</f>
        <v>4597.33</v>
      </c>
    </row>
    <row r="317" spans="1:13" ht="58.35" customHeight="1">
      <c r="A317" s="39"/>
      <c r="B317" s="39"/>
      <c r="C317" s="39"/>
      <c r="D317" s="36" t="s">
        <v>600</v>
      </c>
      <c r="E317" s="36"/>
      <c r="F317" s="36"/>
      <c r="G317" s="36"/>
      <c r="H317" s="36"/>
      <c r="I317" s="36"/>
      <c r="J317" s="36"/>
      <c r="K317" s="36"/>
      <c r="L317" s="36"/>
      <c r="M317" s="36"/>
    </row>
    <row r="318" spans="1:13" ht="15.2" customHeight="1">
      <c r="A318" s="39"/>
      <c r="B318" s="39"/>
      <c r="C318" s="39"/>
      <c r="D318" s="39"/>
      <c r="E318" s="40"/>
      <c r="F318" s="41" t="s">
        <v>434</v>
      </c>
      <c r="G318" s="41" t="s">
        <v>435</v>
      </c>
      <c r="H318" s="41" t="s">
        <v>436</v>
      </c>
      <c r="I318" s="41" t="s">
        <v>437</v>
      </c>
      <c r="J318" s="41" t="s">
        <v>438</v>
      </c>
      <c r="K318" s="41" t="s">
        <v>439</v>
      </c>
      <c r="L318" s="39"/>
      <c r="M318" s="39"/>
    </row>
    <row r="319" spans="1:13" ht="15.2" customHeight="1">
      <c r="A319" s="39"/>
      <c r="B319" s="39"/>
      <c r="C319" s="39"/>
      <c r="D319" s="42"/>
      <c r="E319" s="43"/>
      <c r="F319" s="44">
        <v>108.864</v>
      </c>
      <c r="G319" s="45"/>
      <c r="H319" s="45"/>
      <c r="I319" s="45"/>
      <c r="J319" s="46">
        <f>ROUND(F319,3)</f>
        <v>108.864</v>
      </c>
      <c r="K319" s="47">
        <f>SUM(J319:J319)</f>
        <v>108.864</v>
      </c>
      <c r="L319" s="39"/>
      <c r="M319" s="39"/>
    </row>
    <row r="320" spans="1:13" ht="21.4" customHeight="1">
      <c r="A320" s="35" t="s">
        <v>601</v>
      </c>
      <c r="B320" s="35" t="s">
        <v>451</v>
      </c>
      <c r="C320" s="35" t="s">
        <v>56</v>
      </c>
      <c r="D320" s="36" t="s">
        <v>602</v>
      </c>
      <c r="E320" s="36"/>
      <c r="F320" s="36"/>
      <c r="G320" s="36"/>
      <c r="H320" s="36"/>
      <c r="I320" s="36"/>
      <c r="J320" s="36"/>
      <c r="K320" s="37">
        <v>1.05</v>
      </c>
      <c r="L320" s="37">
        <f>ROUND(33.08,3)</f>
        <v>33.08</v>
      </c>
      <c r="M320" s="38">
        <f>ROUND(K320*L320,2)</f>
        <v>34.729999999999997</v>
      </c>
    </row>
    <row r="321" spans="1:13" ht="15.2" customHeight="1">
      <c r="A321" s="35" t="s">
        <v>515</v>
      </c>
      <c r="B321" s="35" t="s">
        <v>451</v>
      </c>
      <c r="C321" s="35" t="s">
        <v>516</v>
      </c>
      <c r="D321" s="36" t="s">
        <v>517</v>
      </c>
      <c r="E321" s="36"/>
      <c r="F321" s="36"/>
      <c r="G321" s="36"/>
      <c r="H321" s="36"/>
      <c r="I321" s="36"/>
      <c r="J321" s="36"/>
      <c r="K321" s="37">
        <v>0.05</v>
      </c>
      <c r="L321" s="37">
        <f>ROUND(11.68,3)</f>
        <v>11.68</v>
      </c>
      <c r="M321" s="38">
        <f>ROUND(K321*L321,2)</f>
        <v>0.57999999999999996</v>
      </c>
    </row>
    <row r="322" spans="1:13" ht="15.2" customHeight="1">
      <c r="A322" s="35" t="s">
        <v>603</v>
      </c>
      <c r="B322" s="35" t="s">
        <v>455</v>
      </c>
      <c r="C322" s="35" t="s">
        <v>456</v>
      </c>
      <c r="D322" s="36" t="s">
        <v>604</v>
      </c>
      <c r="E322" s="36"/>
      <c r="F322" s="36"/>
      <c r="G322" s="36"/>
      <c r="H322" s="36"/>
      <c r="I322" s="36"/>
      <c r="J322" s="36"/>
      <c r="K322" s="37">
        <v>0.13</v>
      </c>
      <c r="L322" s="37">
        <f>ROUND(20.33,3)</f>
        <v>20.329999999999998</v>
      </c>
      <c r="M322" s="38">
        <f>ROUND(K322*L322,2)</f>
        <v>2.64</v>
      </c>
    </row>
    <row r="323" spans="1:13" ht="15.2" customHeight="1">
      <c r="A323" s="35" t="s">
        <v>605</v>
      </c>
      <c r="B323" s="35" t="s">
        <v>455</v>
      </c>
      <c r="C323" s="35" t="s">
        <v>456</v>
      </c>
      <c r="D323" s="36" t="s">
        <v>606</v>
      </c>
      <c r="E323" s="36"/>
      <c r="F323" s="36"/>
      <c r="G323" s="36"/>
      <c r="H323" s="36"/>
      <c r="I323" s="36"/>
      <c r="J323" s="36"/>
      <c r="K323" s="37">
        <v>0.13</v>
      </c>
      <c r="L323" s="37">
        <f>ROUND(17.34,3)</f>
        <v>17.34</v>
      </c>
      <c r="M323" s="38">
        <f>ROUND(K323*L323,2)</f>
        <v>2.25</v>
      </c>
    </row>
    <row r="324" spans="1:13" ht="15.2" customHeight="1">
      <c r="A324" s="35" t="s">
        <v>460</v>
      </c>
      <c r="B324" s="35"/>
      <c r="C324" s="35" t="s">
        <v>460</v>
      </c>
      <c r="D324" s="36" t="s">
        <v>461</v>
      </c>
      <c r="E324" s="36"/>
      <c r="F324" s="36"/>
      <c r="G324" s="36"/>
      <c r="H324" s="36"/>
      <c r="I324" s="36"/>
      <c r="J324" s="36"/>
      <c r="K324" s="37">
        <v>2</v>
      </c>
      <c r="L324" s="37">
        <f>ROUND(40.2,3)</f>
        <v>40.200000000000003</v>
      </c>
      <c r="M324" s="38">
        <f>ROUND((K324*L324)/100,2)</f>
        <v>0.8</v>
      </c>
    </row>
    <row r="325" spans="1:13" ht="15.4" customHeight="1">
      <c r="A325" s="52"/>
      <c r="B325" s="52"/>
      <c r="C325" s="52"/>
      <c r="D325" s="53" t="s">
        <v>648</v>
      </c>
      <c r="E325" s="52"/>
      <c r="F325" s="52"/>
      <c r="G325" s="52"/>
      <c r="H325" s="52"/>
      <c r="I325" s="52"/>
      <c r="J325" s="52"/>
      <c r="K325" s="54">
        <v>108.864</v>
      </c>
      <c r="L325" s="55">
        <f>ROUND((M320+M321+M322+M323+M324)*(1+M2/100),2)</f>
        <v>42.23</v>
      </c>
      <c r="M325" s="55">
        <f>ROUND(K325*L325,2)</f>
        <v>4597.33</v>
      </c>
    </row>
    <row r="326" spans="1:13" ht="30.6" customHeight="1">
      <c r="A326" s="56" t="s">
        <v>649</v>
      </c>
      <c r="B326" s="57" t="s">
        <v>431</v>
      </c>
      <c r="C326" s="57" t="s">
        <v>56</v>
      </c>
      <c r="D326" s="58" t="s">
        <v>608</v>
      </c>
      <c r="E326" s="58"/>
      <c r="F326" s="58"/>
      <c r="G326" s="58"/>
      <c r="H326" s="58"/>
      <c r="I326" s="58"/>
      <c r="J326" s="58"/>
      <c r="K326" s="59">
        <f>SUM(K329:K329)</f>
        <v>71.483999999999995</v>
      </c>
      <c r="L326" s="60">
        <f>L335</f>
        <v>30.77</v>
      </c>
      <c r="M326" s="60">
        <f>ROUND(K326*L326,2)</f>
        <v>2199.56</v>
      </c>
    </row>
    <row r="327" spans="1:13" ht="58.35" customHeight="1">
      <c r="A327" s="39"/>
      <c r="B327" s="39"/>
      <c r="C327" s="39"/>
      <c r="D327" s="36" t="s">
        <v>609</v>
      </c>
      <c r="E327" s="36"/>
      <c r="F327" s="36"/>
      <c r="G327" s="36"/>
      <c r="H327" s="36"/>
      <c r="I327" s="36"/>
      <c r="J327" s="36"/>
      <c r="K327" s="36"/>
      <c r="L327" s="36"/>
      <c r="M327" s="36"/>
    </row>
    <row r="328" spans="1:13" ht="15.2" customHeight="1">
      <c r="A328" s="39"/>
      <c r="B328" s="39"/>
      <c r="C328" s="39"/>
      <c r="D328" s="39"/>
      <c r="E328" s="40"/>
      <c r="F328" s="41" t="s">
        <v>434</v>
      </c>
      <c r="G328" s="41" t="s">
        <v>435</v>
      </c>
      <c r="H328" s="41" t="s">
        <v>436</v>
      </c>
      <c r="I328" s="41" t="s">
        <v>437</v>
      </c>
      <c r="J328" s="41" t="s">
        <v>438</v>
      </c>
      <c r="K328" s="41" t="s">
        <v>439</v>
      </c>
      <c r="L328" s="39"/>
      <c r="M328" s="39"/>
    </row>
    <row r="329" spans="1:13" ht="15.2" customHeight="1">
      <c r="A329" s="39"/>
      <c r="B329" s="39"/>
      <c r="C329" s="39"/>
      <c r="D329" s="42"/>
      <c r="E329" s="43"/>
      <c r="F329" s="44">
        <v>71.483999999999995</v>
      </c>
      <c r="G329" s="45"/>
      <c r="H329" s="45"/>
      <c r="I329" s="45"/>
      <c r="J329" s="46">
        <f>ROUND(F329,3)</f>
        <v>71.483999999999995</v>
      </c>
      <c r="K329" s="47">
        <f>SUM(J329:J329)</f>
        <v>71.483999999999995</v>
      </c>
      <c r="L329" s="39"/>
      <c r="M329" s="39"/>
    </row>
    <row r="330" spans="1:13" ht="21.4" customHeight="1">
      <c r="A330" s="35" t="s">
        <v>610</v>
      </c>
      <c r="B330" s="35" t="s">
        <v>451</v>
      </c>
      <c r="C330" s="35" t="s">
        <v>56</v>
      </c>
      <c r="D330" s="36" t="s">
        <v>611</v>
      </c>
      <c r="E330" s="36"/>
      <c r="F330" s="36"/>
      <c r="G330" s="36"/>
      <c r="H330" s="36"/>
      <c r="I330" s="36"/>
      <c r="J330" s="36"/>
      <c r="K330" s="37">
        <v>1.05</v>
      </c>
      <c r="L330" s="37">
        <f>ROUND(22.97,3)</f>
        <v>22.97</v>
      </c>
      <c r="M330" s="38">
        <f>ROUND(K330*L330,2)</f>
        <v>24.12</v>
      </c>
    </row>
    <row r="331" spans="1:13" ht="15.2" customHeight="1">
      <c r="A331" s="35" t="s">
        <v>515</v>
      </c>
      <c r="B331" s="35" t="s">
        <v>451</v>
      </c>
      <c r="C331" s="35" t="s">
        <v>516</v>
      </c>
      <c r="D331" s="36" t="s">
        <v>517</v>
      </c>
      <c r="E331" s="36"/>
      <c r="F331" s="36"/>
      <c r="G331" s="36"/>
      <c r="H331" s="36"/>
      <c r="I331" s="36"/>
      <c r="J331" s="36"/>
      <c r="K331" s="37">
        <v>4.2000000000000003E-2</v>
      </c>
      <c r="L331" s="37">
        <f>ROUND(11.68,3)</f>
        <v>11.68</v>
      </c>
      <c r="M331" s="38">
        <f>ROUND(K331*L331,2)</f>
        <v>0.49</v>
      </c>
    </row>
    <row r="332" spans="1:13" ht="15.2" customHeight="1">
      <c r="A332" s="35" t="s">
        <v>603</v>
      </c>
      <c r="B332" s="35" t="s">
        <v>455</v>
      </c>
      <c r="C332" s="35" t="s">
        <v>456</v>
      </c>
      <c r="D332" s="36" t="s">
        <v>604</v>
      </c>
      <c r="E332" s="36"/>
      <c r="F332" s="36"/>
      <c r="G332" s="36"/>
      <c r="H332" s="36"/>
      <c r="I332" s="36"/>
      <c r="J332" s="36"/>
      <c r="K332" s="37">
        <v>0.124</v>
      </c>
      <c r="L332" s="37">
        <f>ROUND(20.33,3)</f>
        <v>20.329999999999998</v>
      </c>
      <c r="M332" s="38">
        <f>ROUND(K332*L332,2)</f>
        <v>2.52</v>
      </c>
    </row>
    <row r="333" spans="1:13" ht="15.2" customHeight="1">
      <c r="A333" s="35" t="s">
        <v>605</v>
      </c>
      <c r="B333" s="35" t="s">
        <v>455</v>
      </c>
      <c r="C333" s="35" t="s">
        <v>456</v>
      </c>
      <c r="D333" s="36" t="s">
        <v>606</v>
      </c>
      <c r="E333" s="36"/>
      <c r="F333" s="36"/>
      <c r="G333" s="36"/>
      <c r="H333" s="36"/>
      <c r="I333" s="36"/>
      <c r="J333" s="36"/>
      <c r="K333" s="37">
        <v>0.124</v>
      </c>
      <c r="L333" s="37">
        <f>ROUND(17.34,3)</f>
        <v>17.34</v>
      </c>
      <c r="M333" s="38">
        <f>ROUND(K333*L333,2)</f>
        <v>2.15</v>
      </c>
    </row>
    <row r="334" spans="1:13" ht="15.2" customHeight="1">
      <c r="A334" s="35" t="s">
        <v>460</v>
      </c>
      <c r="B334" s="35"/>
      <c r="C334" s="35" t="s">
        <v>460</v>
      </c>
      <c r="D334" s="36" t="s">
        <v>461</v>
      </c>
      <c r="E334" s="36"/>
      <c r="F334" s="36"/>
      <c r="G334" s="36"/>
      <c r="H334" s="36"/>
      <c r="I334" s="36"/>
      <c r="J334" s="36"/>
      <c r="K334" s="37">
        <v>2</v>
      </c>
      <c r="L334" s="37">
        <f>ROUND(29.28,3)</f>
        <v>29.28</v>
      </c>
      <c r="M334" s="38">
        <f>ROUND((K334*L334)/100,2)</f>
        <v>0.59</v>
      </c>
    </row>
    <row r="335" spans="1:13" ht="15.4" customHeight="1">
      <c r="A335" s="52"/>
      <c r="B335" s="52"/>
      <c r="C335" s="52"/>
      <c r="D335" s="53" t="s">
        <v>649</v>
      </c>
      <c r="E335" s="52"/>
      <c r="F335" s="52"/>
      <c r="G335" s="52"/>
      <c r="H335" s="52"/>
      <c r="I335" s="52"/>
      <c r="J335" s="52"/>
      <c r="K335" s="54">
        <v>71.483999999999995</v>
      </c>
      <c r="L335" s="55">
        <f>ROUND((M330+M331+M332+M333+M334)*(1+M2/100),2)</f>
        <v>30.77</v>
      </c>
      <c r="M335" s="55">
        <f>ROUND(K335*L335,2)</f>
        <v>2199.56</v>
      </c>
    </row>
    <row r="336" spans="1:13" ht="15.4" customHeight="1">
      <c r="A336" s="56" t="s">
        <v>612</v>
      </c>
      <c r="B336" s="57" t="s">
        <v>431</v>
      </c>
      <c r="C336" s="57" t="s">
        <v>3</v>
      </c>
      <c r="D336" s="58" t="s">
        <v>613</v>
      </c>
      <c r="E336" s="58"/>
      <c r="F336" s="58"/>
      <c r="G336" s="58"/>
      <c r="H336" s="58"/>
      <c r="I336" s="58"/>
      <c r="J336" s="58"/>
      <c r="K336" s="59">
        <f>ROUND(14,2)</f>
        <v>14</v>
      </c>
      <c r="L336" s="60">
        <f>L342</f>
        <v>223.01</v>
      </c>
      <c r="M336" s="60">
        <f>ROUND(K336*L336,2)</f>
        <v>3122.14</v>
      </c>
    </row>
    <row r="337" spans="1:13" ht="12.2" customHeight="1">
      <c r="A337" s="39"/>
      <c r="B337" s="39"/>
      <c r="C337" s="39"/>
      <c r="D337" s="36" t="s">
        <v>614</v>
      </c>
      <c r="E337" s="36"/>
      <c r="F337" s="36"/>
      <c r="G337" s="36"/>
      <c r="H337" s="36"/>
      <c r="I337" s="36"/>
      <c r="J337" s="36"/>
      <c r="K337" s="36"/>
      <c r="L337" s="36"/>
      <c r="M337" s="36"/>
    </row>
    <row r="338" spans="1:13" ht="15.2" customHeight="1">
      <c r="A338" s="35" t="s">
        <v>529</v>
      </c>
      <c r="B338" s="35" t="s">
        <v>455</v>
      </c>
      <c r="C338" s="35" t="s">
        <v>456</v>
      </c>
      <c r="D338" s="36" t="s">
        <v>530</v>
      </c>
      <c r="E338" s="36"/>
      <c r="F338" s="36"/>
      <c r="G338" s="36"/>
      <c r="H338" s="36"/>
      <c r="I338" s="36"/>
      <c r="J338" s="36"/>
      <c r="K338" s="37">
        <v>1</v>
      </c>
      <c r="L338" s="37">
        <f>ROUND(17.32,3)</f>
        <v>17.32</v>
      </c>
      <c r="M338" s="38">
        <f t="shared" ref="M338:M343" si="14">ROUND(K338*L338,2)</f>
        <v>17.32</v>
      </c>
    </row>
    <row r="339" spans="1:13" ht="15.2" customHeight="1">
      <c r="A339" s="35" t="s">
        <v>527</v>
      </c>
      <c r="B339" s="35" t="s">
        <v>455</v>
      </c>
      <c r="C339" s="35" t="s">
        <v>456</v>
      </c>
      <c r="D339" s="36" t="s">
        <v>528</v>
      </c>
      <c r="E339" s="36"/>
      <c r="F339" s="36"/>
      <c r="G339" s="36"/>
      <c r="H339" s="36"/>
      <c r="I339" s="36"/>
      <c r="J339" s="36"/>
      <c r="K339" s="37">
        <v>1</v>
      </c>
      <c r="L339" s="37">
        <f>ROUND(20.33,3)</f>
        <v>20.329999999999998</v>
      </c>
      <c r="M339" s="38">
        <f t="shared" si="14"/>
        <v>20.329999999999998</v>
      </c>
    </row>
    <row r="340" spans="1:13" ht="15.2" customHeight="1">
      <c r="A340" s="35" t="s">
        <v>615</v>
      </c>
      <c r="B340" s="35" t="s">
        <v>451</v>
      </c>
      <c r="C340" s="35" t="s">
        <v>3</v>
      </c>
      <c r="D340" s="36" t="s">
        <v>616</v>
      </c>
      <c r="E340" s="36"/>
      <c r="F340" s="36"/>
      <c r="G340" s="36"/>
      <c r="H340" s="36"/>
      <c r="I340" s="36"/>
      <c r="J340" s="36"/>
      <c r="K340" s="37">
        <v>1</v>
      </c>
      <c r="L340" s="37">
        <f>ROUND(152.23,3)</f>
        <v>152.22999999999999</v>
      </c>
      <c r="M340" s="38">
        <f t="shared" si="14"/>
        <v>152.22999999999999</v>
      </c>
    </row>
    <row r="341" spans="1:13" ht="15.2" customHeight="1">
      <c r="A341" s="35" t="s">
        <v>617</v>
      </c>
      <c r="B341" s="35" t="s">
        <v>451</v>
      </c>
      <c r="C341" s="35" t="s">
        <v>3</v>
      </c>
      <c r="D341" s="36" t="s">
        <v>618</v>
      </c>
      <c r="E341" s="36"/>
      <c r="F341" s="36"/>
      <c r="G341" s="36"/>
      <c r="H341" s="36"/>
      <c r="I341" s="36"/>
      <c r="J341" s="36"/>
      <c r="K341" s="37">
        <v>1</v>
      </c>
      <c r="L341" s="37">
        <f>ROUND(26.63,3)</f>
        <v>26.63</v>
      </c>
      <c r="M341" s="38">
        <f t="shared" si="14"/>
        <v>26.63</v>
      </c>
    </row>
    <row r="342" spans="1:13" ht="15.4" customHeight="1">
      <c r="A342" s="52"/>
      <c r="B342" s="52"/>
      <c r="C342" s="52"/>
      <c r="D342" s="53" t="s">
        <v>612</v>
      </c>
      <c r="E342" s="52"/>
      <c r="F342" s="52"/>
      <c r="G342" s="52"/>
      <c r="H342" s="52"/>
      <c r="I342" s="52"/>
      <c r="J342" s="52"/>
      <c r="K342" s="54">
        <v>14</v>
      </c>
      <c r="L342" s="55">
        <f>ROUND((M338+M339+M340+M341)*(1+M2/100),2)</f>
        <v>223.01</v>
      </c>
      <c r="M342" s="55">
        <f t="shared" si="14"/>
        <v>3122.14</v>
      </c>
    </row>
    <row r="343" spans="1:13" ht="15.4" customHeight="1">
      <c r="A343" s="56" t="s">
        <v>619</v>
      </c>
      <c r="B343" s="57" t="s">
        <v>431</v>
      </c>
      <c r="C343" s="57" t="s">
        <v>3</v>
      </c>
      <c r="D343" s="58" t="s">
        <v>620</v>
      </c>
      <c r="E343" s="58"/>
      <c r="F343" s="58"/>
      <c r="G343" s="58"/>
      <c r="H343" s="58"/>
      <c r="I343" s="58"/>
      <c r="J343" s="58"/>
      <c r="K343" s="59">
        <f>ROUND(1,2)</f>
        <v>1</v>
      </c>
      <c r="L343" s="60">
        <f>ROUND(1500*(1+M2/100),2)</f>
        <v>1545</v>
      </c>
      <c r="M343" s="60">
        <f t="shared" si="14"/>
        <v>1545</v>
      </c>
    </row>
    <row r="344" spans="1:13" ht="12.2" customHeight="1">
      <c r="A344" s="39"/>
      <c r="B344" s="39"/>
      <c r="C344" s="39"/>
      <c r="D344" s="36" t="s">
        <v>621</v>
      </c>
      <c r="E344" s="36"/>
      <c r="F344" s="36"/>
      <c r="G344" s="36"/>
      <c r="H344" s="36"/>
      <c r="I344" s="36"/>
      <c r="J344" s="36"/>
      <c r="K344" s="36"/>
      <c r="L344" s="36"/>
      <c r="M344" s="36"/>
    </row>
    <row r="345" spans="1:13" ht="15.4" customHeight="1">
      <c r="A345" s="34" t="s">
        <v>622</v>
      </c>
      <c r="B345" s="35" t="s">
        <v>431</v>
      </c>
      <c r="C345" s="35" t="s">
        <v>3</v>
      </c>
      <c r="D345" s="36" t="s">
        <v>623</v>
      </c>
      <c r="E345" s="36"/>
      <c r="F345" s="36"/>
      <c r="G345" s="36"/>
      <c r="H345" s="36"/>
      <c r="I345" s="36"/>
      <c r="J345" s="36"/>
      <c r="K345" s="37">
        <f>ROUND(14,2)</f>
        <v>14</v>
      </c>
      <c r="L345" s="38">
        <f>L351</f>
        <v>1595.6</v>
      </c>
      <c r="M345" s="38">
        <f>ROUND(K345*L345,2)</f>
        <v>22338.400000000001</v>
      </c>
    </row>
    <row r="346" spans="1:13" ht="12.2" customHeight="1">
      <c r="A346" s="39"/>
      <c r="B346" s="39"/>
      <c r="C346" s="39"/>
      <c r="D346" s="36" t="s">
        <v>624</v>
      </c>
      <c r="E346" s="36"/>
      <c r="F346" s="36"/>
      <c r="G346" s="36"/>
      <c r="H346" s="36"/>
      <c r="I346" s="36"/>
      <c r="J346" s="36"/>
      <c r="K346" s="36"/>
      <c r="L346" s="36"/>
      <c r="M346" s="36"/>
    </row>
    <row r="347" spans="1:13" ht="15.2" customHeight="1">
      <c r="A347" s="35" t="s">
        <v>529</v>
      </c>
      <c r="B347" s="35" t="s">
        <v>455</v>
      </c>
      <c r="C347" s="35" t="s">
        <v>456</v>
      </c>
      <c r="D347" s="36" t="s">
        <v>530</v>
      </c>
      <c r="E347" s="36"/>
      <c r="F347" s="36"/>
      <c r="G347" s="36"/>
      <c r="H347" s="36"/>
      <c r="I347" s="36"/>
      <c r="J347" s="36"/>
      <c r="K347" s="37">
        <v>0.88</v>
      </c>
      <c r="L347" s="37">
        <f>ROUND(17.32,3)</f>
        <v>17.32</v>
      </c>
      <c r="M347" s="38">
        <f t="shared" ref="M347:M352" si="15">ROUND(K347*L347,2)</f>
        <v>15.24</v>
      </c>
    </row>
    <row r="348" spans="1:13" ht="15.2" customHeight="1">
      <c r="A348" s="35" t="s">
        <v>527</v>
      </c>
      <c r="B348" s="35" t="s">
        <v>455</v>
      </c>
      <c r="C348" s="35" t="s">
        <v>456</v>
      </c>
      <c r="D348" s="36" t="s">
        <v>528</v>
      </c>
      <c r="E348" s="36"/>
      <c r="F348" s="36"/>
      <c r="G348" s="36"/>
      <c r="H348" s="36"/>
      <c r="I348" s="36"/>
      <c r="J348" s="36"/>
      <c r="K348" s="37">
        <v>0.88</v>
      </c>
      <c r="L348" s="37">
        <f>ROUND(20.33,3)</f>
        <v>20.329999999999998</v>
      </c>
      <c r="M348" s="38">
        <f t="shared" si="15"/>
        <v>17.89</v>
      </c>
    </row>
    <row r="349" spans="1:13" ht="15.2" customHeight="1">
      <c r="A349" s="35" t="s">
        <v>625</v>
      </c>
      <c r="B349" s="35" t="s">
        <v>451</v>
      </c>
      <c r="C349" s="35" t="s">
        <v>3</v>
      </c>
      <c r="D349" s="36" t="s">
        <v>626</v>
      </c>
      <c r="E349" s="36"/>
      <c r="F349" s="36"/>
      <c r="G349" s="36"/>
      <c r="H349" s="36"/>
      <c r="I349" s="36"/>
      <c r="J349" s="36"/>
      <c r="K349" s="37">
        <v>1</v>
      </c>
      <c r="L349" s="37">
        <f>ROUND(1512.4,3)</f>
        <v>1512.4</v>
      </c>
      <c r="M349" s="38">
        <f t="shared" si="15"/>
        <v>1512.4</v>
      </c>
    </row>
    <row r="350" spans="1:13" ht="21.4" customHeight="1">
      <c r="A350" s="35" t="s">
        <v>531</v>
      </c>
      <c r="B350" s="35" t="s">
        <v>451</v>
      </c>
      <c r="C350" s="35" t="s">
        <v>56</v>
      </c>
      <c r="D350" s="36" t="s">
        <v>532</v>
      </c>
      <c r="E350" s="36"/>
      <c r="F350" s="36"/>
      <c r="G350" s="36"/>
      <c r="H350" s="36"/>
      <c r="I350" s="36"/>
      <c r="J350" s="36"/>
      <c r="K350" s="37">
        <v>9</v>
      </c>
      <c r="L350" s="37">
        <f>ROUND(0.4,3)</f>
        <v>0.4</v>
      </c>
      <c r="M350" s="38">
        <f t="shared" si="15"/>
        <v>3.6</v>
      </c>
    </row>
    <row r="351" spans="1:13" ht="15.4" customHeight="1">
      <c r="A351" s="52"/>
      <c r="B351" s="52"/>
      <c r="C351" s="52"/>
      <c r="D351" s="53" t="s">
        <v>622</v>
      </c>
      <c r="E351" s="52"/>
      <c r="F351" s="52"/>
      <c r="G351" s="52"/>
      <c r="H351" s="52"/>
      <c r="I351" s="52"/>
      <c r="J351" s="52"/>
      <c r="K351" s="54">
        <v>14</v>
      </c>
      <c r="L351" s="55">
        <f>ROUND((M347+M348+M349+M350)*(1+M2/100),2)</f>
        <v>1595.6</v>
      </c>
      <c r="M351" s="55">
        <f t="shared" si="15"/>
        <v>22338.400000000001</v>
      </c>
    </row>
    <row r="352" spans="1:13" ht="15.4" customHeight="1">
      <c r="A352" s="56" t="s">
        <v>627</v>
      </c>
      <c r="B352" s="57" t="s">
        <v>431</v>
      </c>
      <c r="C352" s="57" t="s">
        <v>3</v>
      </c>
      <c r="D352" s="58" t="s">
        <v>628</v>
      </c>
      <c r="E352" s="58"/>
      <c r="F352" s="58"/>
      <c r="G352" s="58"/>
      <c r="H352" s="58"/>
      <c r="I352" s="58"/>
      <c r="J352" s="58"/>
      <c r="K352" s="59">
        <f>ROUND(14,2)</f>
        <v>14</v>
      </c>
      <c r="L352" s="60">
        <f>L357</f>
        <v>192.57</v>
      </c>
      <c r="M352" s="60">
        <f t="shared" si="15"/>
        <v>2695.98</v>
      </c>
    </row>
    <row r="353" spans="1:13" ht="12.2" customHeight="1">
      <c r="A353" s="39"/>
      <c r="B353" s="39"/>
      <c r="C353" s="39"/>
      <c r="D353" s="36" t="s">
        <v>629</v>
      </c>
      <c r="E353" s="36"/>
      <c r="F353" s="36"/>
      <c r="G353" s="36"/>
      <c r="H353" s="36"/>
      <c r="I353" s="36"/>
      <c r="J353" s="36"/>
      <c r="K353" s="36"/>
      <c r="L353" s="36"/>
      <c r="M353" s="36"/>
    </row>
    <row r="354" spans="1:13" ht="15.2" customHeight="1">
      <c r="A354" s="35" t="s">
        <v>529</v>
      </c>
      <c r="B354" s="35" t="s">
        <v>455</v>
      </c>
      <c r="C354" s="35" t="s">
        <v>456</v>
      </c>
      <c r="D354" s="36" t="s">
        <v>530</v>
      </c>
      <c r="E354" s="36"/>
      <c r="F354" s="36"/>
      <c r="G354" s="36"/>
      <c r="H354" s="36"/>
      <c r="I354" s="36"/>
      <c r="J354" s="36"/>
      <c r="K354" s="37">
        <v>1</v>
      </c>
      <c r="L354" s="37">
        <f>ROUND(17.32,3)</f>
        <v>17.32</v>
      </c>
      <c r="M354" s="38">
        <f>ROUND(K354*L354,2)</f>
        <v>17.32</v>
      </c>
    </row>
    <row r="355" spans="1:13" ht="15.2" customHeight="1">
      <c r="A355" s="35" t="s">
        <v>458</v>
      </c>
      <c r="B355" s="35" t="s">
        <v>455</v>
      </c>
      <c r="C355" s="35" t="s">
        <v>456</v>
      </c>
      <c r="D355" s="36" t="s">
        <v>459</v>
      </c>
      <c r="E355" s="36"/>
      <c r="F355" s="36"/>
      <c r="G355" s="36"/>
      <c r="H355" s="36"/>
      <c r="I355" s="36"/>
      <c r="J355" s="36"/>
      <c r="K355" s="37">
        <v>1</v>
      </c>
      <c r="L355" s="37">
        <f>ROUND(17.32,3)</f>
        <v>17.32</v>
      </c>
      <c r="M355" s="38">
        <f>ROUND(K355*L355,2)</f>
        <v>17.32</v>
      </c>
    </row>
    <row r="356" spans="1:13" ht="15.2" customHeight="1">
      <c r="A356" s="35" t="s">
        <v>630</v>
      </c>
      <c r="B356" s="35" t="s">
        <v>451</v>
      </c>
      <c r="C356" s="35" t="s">
        <v>3</v>
      </c>
      <c r="D356" s="36" t="s">
        <v>631</v>
      </c>
      <c r="E356" s="36"/>
      <c r="F356" s="36"/>
      <c r="G356" s="36"/>
      <c r="H356" s="36"/>
      <c r="I356" s="36"/>
      <c r="J356" s="36"/>
      <c r="K356" s="37">
        <v>1</v>
      </c>
      <c r="L356" s="37">
        <f>ROUND(152.32,3)</f>
        <v>152.32</v>
      </c>
      <c r="M356" s="38">
        <f>ROUND(K356*L356,2)</f>
        <v>152.32</v>
      </c>
    </row>
    <row r="357" spans="1:13" ht="15.4" customHeight="1">
      <c r="A357" s="52"/>
      <c r="B357" s="52"/>
      <c r="C357" s="52"/>
      <c r="D357" s="53" t="s">
        <v>627</v>
      </c>
      <c r="E357" s="52"/>
      <c r="F357" s="52"/>
      <c r="G357" s="52"/>
      <c r="H357" s="52"/>
      <c r="I357" s="52"/>
      <c r="J357" s="52"/>
      <c r="K357" s="54">
        <v>14</v>
      </c>
      <c r="L357" s="55">
        <f>ROUND((M354+M355+M356)*(1+M2/100),2)</f>
        <v>192.57</v>
      </c>
      <c r="M357" s="55">
        <f>ROUND(K357*L357,2)</f>
        <v>2695.98</v>
      </c>
    </row>
    <row r="358" spans="1:13" ht="15.4" customHeight="1">
      <c r="A358" s="56" t="s">
        <v>637</v>
      </c>
      <c r="B358" s="57" t="s">
        <v>431</v>
      </c>
      <c r="C358" s="57" t="s">
        <v>3</v>
      </c>
      <c r="D358" s="58" t="s">
        <v>638</v>
      </c>
      <c r="E358" s="58"/>
      <c r="F358" s="58"/>
      <c r="G358" s="58"/>
      <c r="H358" s="58"/>
      <c r="I358" s="58"/>
      <c r="J358" s="58"/>
      <c r="K358" s="59">
        <f>ROUND(14,2)</f>
        <v>14</v>
      </c>
      <c r="L358" s="60">
        <f>ROUND(241*(1+M2/100),2)</f>
        <v>248.23</v>
      </c>
      <c r="M358" s="60">
        <f>ROUND(K358*L358,2)</f>
        <v>3475.22</v>
      </c>
    </row>
    <row r="359" spans="1:13" ht="12.2" customHeight="1">
      <c r="A359" s="39"/>
      <c r="B359" s="39"/>
      <c r="C359" s="39"/>
      <c r="D359" s="36" t="s">
        <v>639</v>
      </c>
      <c r="E359" s="36"/>
      <c r="F359" s="36"/>
      <c r="G359" s="36"/>
      <c r="H359" s="36"/>
      <c r="I359" s="36"/>
      <c r="J359" s="36"/>
      <c r="K359" s="36"/>
      <c r="L359" s="36"/>
      <c r="M359" s="36"/>
    </row>
    <row r="360" spans="1:13" ht="21.4" customHeight="1">
      <c r="A360" s="34" t="s">
        <v>650</v>
      </c>
      <c r="B360" s="35" t="s">
        <v>431</v>
      </c>
      <c r="C360" s="35" t="s">
        <v>422</v>
      </c>
      <c r="D360" s="36" t="s">
        <v>633</v>
      </c>
      <c r="E360" s="36"/>
      <c r="F360" s="36"/>
      <c r="G360" s="36"/>
      <c r="H360" s="36"/>
      <c r="I360" s="36"/>
      <c r="J360" s="36"/>
      <c r="K360" s="37">
        <f>ROUND(14,2)</f>
        <v>14</v>
      </c>
      <c r="L360" s="38">
        <f>L365</f>
        <v>47.15</v>
      </c>
      <c r="M360" s="38">
        <f>ROUND(K360*L360,2)</f>
        <v>660.1</v>
      </c>
    </row>
    <row r="361" spans="1:13" ht="49.15" customHeight="1">
      <c r="A361" s="39"/>
      <c r="B361" s="39"/>
      <c r="C361" s="39"/>
      <c r="D361" s="36" t="s">
        <v>634</v>
      </c>
      <c r="E361" s="36"/>
      <c r="F361" s="36"/>
      <c r="G361" s="36"/>
      <c r="H361" s="36"/>
      <c r="I361" s="36"/>
      <c r="J361" s="36"/>
      <c r="K361" s="36"/>
      <c r="L361" s="36"/>
      <c r="M361" s="36"/>
    </row>
    <row r="362" spans="1:13" ht="30.6" customHeight="1">
      <c r="A362" s="35" t="s">
        <v>635</v>
      </c>
      <c r="B362" s="35" t="s">
        <v>451</v>
      </c>
      <c r="C362" s="35" t="s">
        <v>422</v>
      </c>
      <c r="D362" s="36" t="s">
        <v>636</v>
      </c>
      <c r="E362" s="36"/>
      <c r="F362" s="36"/>
      <c r="G362" s="36"/>
      <c r="H362" s="36"/>
      <c r="I362" s="36"/>
      <c r="J362" s="36"/>
      <c r="K362" s="37">
        <v>1</v>
      </c>
      <c r="L362" s="37">
        <f>ROUND(39.29,3)</f>
        <v>39.29</v>
      </c>
      <c r="M362" s="38">
        <f>ROUND(K362*L362,2)</f>
        <v>39.29</v>
      </c>
    </row>
    <row r="363" spans="1:13" ht="15.2" customHeight="1">
      <c r="A363" s="35" t="s">
        <v>493</v>
      </c>
      <c r="B363" s="35" t="s">
        <v>455</v>
      </c>
      <c r="C363" s="35" t="s">
        <v>456</v>
      </c>
      <c r="D363" s="36" t="s">
        <v>494</v>
      </c>
      <c r="E363" s="36"/>
      <c r="F363" s="36"/>
      <c r="G363" s="36"/>
      <c r="H363" s="36"/>
      <c r="I363" s="36"/>
      <c r="J363" s="36"/>
      <c r="K363" s="37">
        <v>0.27500000000000002</v>
      </c>
      <c r="L363" s="37">
        <f>ROUND(20.33,3)</f>
        <v>20.329999999999998</v>
      </c>
      <c r="M363" s="38">
        <f>ROUND(K363*L363,2)</f>
        <v>5.59</v>
      </c>
    </row>
    <row r="364" spans="1:13" ht="15.2" customHeight="1">
      <c r="A364" s="35" t="s">
        <v>460</v>
      </c>
      <c r="B364" s="35"/>
      <c r="C364" s="35" t="s">
        <v>460</v>
      </c>
      <c r="D364" s="36" t="s">
        <v>461</v>
      </c>
      <c r="E364" s="36"/>
      <c r="F364" s="36"/>
      <c r="G364" s="36"/>
      <c r="H364" s="36"/>
      <c r="I364" s="36"/>
      <c r="J364" s="36"/>
      <c r="K364" s="37">
        <v>2</v>
      </c>
      <c r="L364" s="37">
        <f>ROUND(44.88,3)</f>
        <v>44.88</v>
      </c>
      <c r="M364" s="38">
        <f>ROUND((K364*L364)/100,2)</f>
        <v>0.9</v>
      </c>
    </row>
    <row r="365" spans="1:13" ht="15.4" customHeight="1">
      <c r="A365" s="52"/>
      <c r="B365" s="52"/>
      <c r="C365" s="52"/>
      <c r="D365" s="53" t="s">
        <v>650</v>
      </c>
      <c r="E365" s="52"/>
      <c r="F365" s="52"/>
      <c r="G365" s="52"/>
      <c r="H365" s="52"/>
      <c r="I365" s="52"/>
      <c r="J365" s="52"/>
      <c r="K365" s="54">
        <v>14</v>
      </c>
      <c r="L365" s="55">
        <f>ROUND((M362+M363+M364)*(1+M2/100),2)</f>
        <v>47.15</v>
      </c>
      <c r="M365" s="55">
        <f>ROUND(K365*L365,2)</f>
        <v>660.1</v>
      </c>
    </row>
    <row r="366" spans="1:13" ht="15.4" customHeight="1">
      <c r="A366" s="79"/>
      <c r="B366" s="79"/>
      <c r="C366" s="79"/>
      <c r="D366" s="80" t="s">
        <v>640</v>
      </c>
      <c r="E366" s="81"/>
      <c r="F366" s="81"/>
      <c r="G366" s="81"/>
      <c r="H366" s="81"/>
      <c r="I366" s="81"/>
      <c r="J366" s="81"/>
      <c r="K366" s="81"/>
      <c r="L366" s="82">
        <f>M250+M262+M274+M285+M289+M300+M312+M316+M326+M336+M343+M345+M352+M358+M360</f>
        <v>51543.98000000001</v>
      </c>
      <c r="M366" s="82">
        <f>ROUND(L366,2)</f>
        <v>51543.98</v>
      </c>
    </row>
    <row r="367" spans="1:13" ht="15.4" customHeight="1">
      <c r="A367" s="75" t="s">
        <v>651</v>
      </c>
      <c r="B367" s="75" t="s">
        <v>428</v>
      </c>
      <c r="C367" s="76"/>
      <c r="D367" s="77" t="s">
        <v>652</v>
      </c>
      <c r="E367" s="77"/>
      <c r="F367" s="77"/>
      <c r="G367" s="77"/>
      <c r="H367" s="77"/>
      <c r="I367" s="77"/>
      <c r="J367" s="77"/>
      <c r="K367" s="76"/>
      <c r="L367" s="78">
        <f>L463</f>
        <v>56307.56</v>
      </c>
      <c r="M367" s="78">
        <f>ROUND(L367,2)</f>
        <v>56307.56</v>
      </c>
    </row>
    <row r="368" spans="1:13" ht="39.75" customHeight="1">
      <c r="A368" s="34" t="s">
        <v>653</v>
      </c>
      <c r="B368" s="35" t="s">
        <v>431</v>
      </c>
      <c r="C368" s="35" t="s">
        <v>56</v>
      </c>
      <c r="D368" s="36" t="s">
        <v>569</v>
      </c>
      <c r="E368" s="36"/>
      <c r="F368" s="36"/>
      <c r="G368" s="36"/>
      <c r="H368" s="36"/>
      <c r="I368" s="36"/>
      <c r="J368" s="36"/>
      <c r="K368" s="37">
        <f>SUM(K371:K372)</f>
        <v>218</v>
      </c>
      <c r="L368" s="38">
        <f>L380</f>
        <v>32.51</v>
      </c>
      <c r="M368" s="38">
        <f>ROUND(K368*L368,2)</f>
        <v>7087.18</v>
      </c>
    </row>
    <row r="369" spans="1:13" ht="76.900000000000006" customHeight="1">
      <c r="A369" s="39"/>
      <c r="B369" s="39"/>
      <c r="C369" s="39"/>
      <c r="D369" s="36" t="s">
        <v>570</v>
      </c>
      <c r="E369" s="36"/>
      <c r="F369" s="36"/>
      <c r="G369" s="36"/>
      <c r="H369" s="36"/>
      <c r="I369" s="36"/>
      <c r="J369" s="36"/>
      <c r="K369" s="36"/>
      <c r="L369" s="36"/>
      <c r="M369" s="36"/>
    </row>
    <row r="370" spans="1:13" ht="15.2" customHeight="1">
      <c r="A370" s="39"/>
      <c r="B370" s="39"/>
      <c r="C370" s="39"/>
      <c r="D370" s="39"/>
      <c r="E370" s="40"/>
      <c r="F370" s="41" t="s">
        <v>434</v>
      </c>
      <c r="G370" s="41" t="s">
        <v>435</v>
      </c>
      <c r="H370" s="41" t="s">
        <v>436</v>
      </c>
      <c r="I370" s="41" t="s">
        <v>437</v>
      </c>
      <c r="J370" s="41" t="s">
        <v>438</v>
      </c>
      <c r="K370" s="41" t="s">
        <v>439</v>
      </c>
      <c r="L370" s="39"/>
      <c r="M370" s="39"/>
    </row>
    <row r="371" spans="1:13" ht="21.4" customHeight="1">
      <c r="A371" s="39"/>
      <c r="B371" s="39"/>
      <c r="C371" s="39"/>
      <c r="D371" s="42"/>
      <c r="E371" s="43" t="s">
        <v>654</v>
      </c>
      <c r="F371" s="44">
        <v>2</v>
      </c>
      <c r="G371" s="45">
        <v>56</v>
      </c>
      <c r="H371" s="45"/>
      <c r="I371" s="45"/>
      <c r="J371" s="46">
        <f>ROUND(F371*G371,3)</f>
        <v>112</v>
      </c>
      <c r="K371" s="48"/>
      <c r="L371" s="39"/>
      <c r="M371" s="39"/>
    </row>
    <row r="372" spans="1:13" ht="21.4" customHeight="1">
      <c r="A372" s="39"/>
      <c r="B372" s="39"/>
      <c r="C372" s="39"/>
      <c r="D372" s="42"/>
      <c r="E372" s="35" t="s">
        <v>655</v>
      </c>
      <c r="F372" s="49">
        <v>2</v>
      </c>
      <c r="G372" s="37">
        <v>53</v>
      </c>
      <c r="H372" s="37"/>
      <c r="I372" s="37"/>
      <c r="J372" s="50">
        <f>ROUND(F372*G372,3)</f>
        <v>106</v>
      </c>
      <c r="K372" s="51">
        <f>SUM(J371:J372)</f>
        <v>218</v>
      </c>
      <c r="L372" s="39"/>
      <c r="M372" s="39"/>
    </row>
    <row r="373" spans="1:13" ht="21.4" customHeight="1">
      <c r="A373" s="35" t="s">
        <v>572</v>
      </c>
      <c r="B373" s="35" t="s">
        <v>451</v>
      </c>
      <c r="C373" s="35" t="s">
        <v>422</v>
      </c>
      <c r="D373" s="36" t="s">
        <v>573</v>
      </c>
      <c r="E373" s="36"/>
      <c r="F373" s="36"/>
      <c r="G373" s="36"/>
      <c r="H373" s="36"/>
      <c r="I373" s="36"/>
      <c r="J373" s="36"/>
      <c r="K373" s="37">
        <v>1</v>
      </c>
      <c r="L373" s="37">
        <f>ROUND(0.48,3)</f>
        <v>0.48</v>
      </c>
      <c r="M373" s="38">
        <f t="shared" ref="M373:M378" si="16">ROUND(K373*L373,2)</f>
        <v>0.48</v>
      </c>
    </row>
    <row r="374" spans="1:13" ht="30.6" customHeight="1">
      <c r="A374" s="35" t="s">
        <v>574</v>
      </c>
      <c r="B374" s="35" t="s">
        <v>451</v>
      </c>
      <c r="C374" s="35" t="s">
        <v>56</v>
      </c>
      <c r="D374" s="36" t="s">
        <v>575</v>
      </c>
      <c r="E374" s="36"/>
      <c r="F374" s="36"/>
      <c r="G374" s="36"/>
      <c r="H374" s="36"/>
      <c r="I374" s="36"/>
      <c r="J374" s="36"/>
      <c r="K374" s="37">
        <v>1</v>
      </c>
      <c r="L374" s="37">
        <f>ROUND(11.58,3)</f>
        <v>11.58</v>
      </c>
      <c r="M374" s="38">
        <f t="shared" si="16"/>
        <v>11.58</v>
      </c>
    </row>
    <row r="375" spans="1:13" ht="21.4" customHeight="1">
      <c r="A375" s="35" t="s">
        <v>576</v>
      </c>
      <c r="B375" s="35" t="s">
        <v>451</v>
      </c>
      <c r="C375" s="35" t="s">
        <v>56</v>
      </c>
      <c r="D375" s="36" t="s">
        <v>577</v>
      </c>
      <c r="E375" s="36"/>
      <c r="F375" s="36"/>
      <c r="G375" s="36"/>
      <c r="H375" s="36"/>
      <c r="I375" s="36"/>
      <c r="J375" s="36"/>
      <c r="K375" s="37">
        <v>1</v>
      </c>
      <c r="L375" s="37">
        <f>ROUND(13.13,3)</f>
        <v>13.13</v>
      </c>
      <c r="M375" s="38">
        <f t="shared" si="16"/>
        <v>13.13</v>
      </c>
    </row>
    <row r="376" spans="1:13" ht="15.2" customHeight="1">
      <c r="A376" s="35" t="s">
        <v>515</v>
      </c>
      <c r="B376" s="35" t="s">
        <v>451</v>
      </c>
      <c r="C376" s="35" t="s">
        <v>516</v>
      </c>
      <c r="D376" s="36" t="s">
        <v>517</v>
      </c>
      <c r="E376" s="36"/>
      <c r="F376" s="36"/>
      <c r="G376" s="36"/>
      <c r="H376" s="36"/>
      <c r="I376" s="36"/>
      <c r="J376" s="36"/>
      <c r="K376" s="37">
        <v>6.7000000000000004E-2</v>
      </c>
      <c r="L376" s="37">
        <f>ROUND(11.68,3)</f>
        <v>11.68</v>
      </c>
      <c r="M376" s="38">
        <f t="shared" si="16"/>
        <v>0.78</v>
      </c>
    </row>
    <row r="377" spans="1:13" ht="15.2" customHeight="1">
      <c r="A377" s="35" t="s">
        <v>454</v>
      </c>
      <c r="B377" s="35" t="s">
        <v>455</v>
      </c>
      <c r="C377" s="35" t="s">
        <v>456</v>
      </c>
      <c r="D377" s="36" t="s">
        <v>457</v>
      </c>
      <c r="E377" s="36"/>
      <c r="F377" s="36"/>
      <c r="G377" s="36"/>
      <c r="H377" s="36"/>
      <c r="I377" s="36"/>
      <c r="J377" s="36"/>
      <c r="K377" s="37">
        <v>0.13200000000000001</v>
      </c>
      <c r="L377" s="37">
        <f>ROUND(20.33,3)</f>
        <v>20.329999999999998</v>
      </c>
      <c r="M377" s="38">
        <f t="shared" si="16"/>
        <v>2.68</v>
      </c>
    </row>
    <row r="378" spans="1:13" ht="15.2" customHeight="1">
      <c r="A378" s="35" t="s">
        <v>458</v>
      </c>
      <c r="B378" s="35" t="s">
        <v>455</v>
      </c>
      <c r="C378" s="35" t="s">
        <v>456</v>
      </c>
      <c r="D378" s="36" t="s">
        <v>459</v>
      </c>
      <c r="E378" s="36"/>
      <c r="F378" s="36"/>
      <c r="G378" s="36"/>
      <c r="H378" s="36"/>
      <c r="I378" s="36"/>
      <c r="J378" s="36"/>
      <c r="K378" s="37">
        <v>0.13200000000000001</v>
      </c>
      <c r="L378" s="37">
        <f>ROUND(17.32,3)</f>
        <v>17.32</v>
      </c>
      <c r="M378" s="38">
        <f t="shared" si="16"/>
        <v>2.29</v>
      </c>
    </row>
    <row r="379" spans="1:13" ht="15.2" customHeight="1">
      <c r="A379" s="35" t="s">
        <v>460</v>
      </c>
      <c r="B379" s="35"/>
      <c r="C379" s="35" t="s">
        <v>460</v>
      </c>
      <c r="D379" s="36" t="s">
        <v>461</v>
      </c>
      <c r="E379" s="36"/>
      <c r="F379" s="36"/>
      <c r="G379" s="36"/>
      <c r="H379" s="36"/>
      <c r="I379" s="36"/>
      <c r="J379" s="36"/>
      <c r="K379" s="37">
        <v>2</v>
      </c>
      <c r="L379" s="37">
        <f>ROUND(30.94,3)</f>
        <v>30.94</v>
      </c>
      <c r="M379" s="38">
        <f>ROUND((K379*L379)/100,2)</f>
        <v>0.62</v>
      </c>
    </row>
    <row r="380" spans="1:13" ht="15.4" customHeight="1">
      <c r="A380" s="52"/>
      <c r="B380" s="52"/>
      <c r="C380" s="52"/>
      <c r="D380" s="53" t="s">
        <v>653</v>
      </c>
      <c r="E380" s="52"/>
      <c r="F380" s="52"/>
      <c r="G380" s="52"/>
      <c r="H380" s="52"/>
      <c r="I380" s="52"/>
      <c r="J380" s="52"/>
      <c r="K380" s="54">
        <v>218</v>
      </c>
      <c r="L380" s="55">
        <f>ROUND((M373+M374+M375+M376+M377+M378+M379)*(1+M2/100),2)</f>
        <v>32.51</v>
      </c>
      <c r="M380" s="55">
        <f>ROUND(K380*L380,2)</f>
        <v>7087.18</v>
      </c>
    </row>
    <row r="381" spans="1:13" ht="30.6" customHeight="1">
      <c r="A381" s="56" t="s">
        <v>656</v>
      </c>
      <c r="B381" s="57" t="s">
        <v>431</v>
      </c>
      <c r="C381" s="57" t="s">
        <v>56</v>
      </c>
      <c r="D381" s="58" t="s">
        <v>599</v>
      </c>
      <c r="E381" s="58"/>
      <c r="F381" s="58"/>
      <c r="G381" s="58"/>
      <c r="H381" s="58"/>
      <c r="I381" s="58"/>
      <c r="J381" s="58"/>
      <c r="K381" s="59">
        <f>SUM(K384:K384)</f>
        <v>218</v>
      </c>
      <c r="L381" s="60">
        <f>L390</f>
        <v>42.23</v>
      </c>
      <c r="M381" s="60">
        <f>ROUND(K381*L381,2)</f>
        <v>9206.14</v>
      </c>
    </row>
    <row r="382" spans="1:13" ht="58.35" customHeight="1">
      <c r="A382" s="39"/>
      <c r="B382" s="39"/>
      <c r="C382" s="39"/>
      <c r="D382" s="36" t="s">
        <v>600</v>
      </c>
      <c r="E382" s="36"/>
      <c r="F382" s="36"/>
      <c r="G382" s="36"/>
      <c r="H382" s="36"/>
      <c r="I382" s="36"/>
      <c r="J382" s="36"/>
      <c r="K382" s="36"/>
      <c r="L382" s="36"/>
      <c r="M382" s="36"/>
    </row>
    <row r="383" spans="1:13" ht="15.2" customHeight="1">
      <c r="A383" s="39"/>
      <c r="B383" s="39"/>
      <c r="C383" s="39"/>
      <c r="D383" s="39"/>
      <c r="E383" s="40"/>
      <c r="F383" s="41" t="s">
        <v>434</v>
      </c>
      <c r="G383" s="41" t="s">
        <v>435</v>
      </c>
      <c r="H383" s="41" t="s">
        <v>436</v>
      </c>
      <c r="I383" s="41" t="s">
        <v>437</v>
      </c>
      <c r="J383" s="41" t="s">
        <v>438</v>
      </c>
      <c r="K383" s="41" t="s">
        <v>439</v>
      </c>
      <c r="L383" s="39"/>
      <c r="M383" s="39"/>
    </row>
    <row r="384" spans="1:13" ht="21.4" customHeight="1">
      <c r="A384" s="39"/>
      <c r="B384" s="39"/>
      <c r="C384" s="39"/>
      <c r="D384" s="42"/>
      <c r="E384" s="43" t="s">
        <v>657</v>
      </c>
      <c r="F384" s="44">
        <v>218</v>
      </c>
      <c r="G384" s="45"/>
      <c r="H384" s="45"/>
      <c r="I384" s="45"/>
      <c r="J384" s="46">
        <f>ROUND(F384,3)</f>
        <v>218</v>
      </c>
      <c r="K384" s="47">
        <f>SUM(J384:J384)</f>
        <v>218</v>
      </c>
      <c r="L384" s="39"/>
      <c r="M384" s="39"/>
    </row>
    <row r="385" spans="1:13" ht="21.4" customHeight="1">
      <c r="A385" s="35" t="s">
        <v>601</v>
      </c>
      <c r="B385" s="35" t="s">
        <v>451</v>
      </c>
      <c r="C385" s="35" t="s">
        <v>56</v>
      </c>
      <c r="D385" s="36" t="s">
        <v>602</v>
      </c>
      <c r="E385" s="36"/>
      <c r="F385" s="36"/>
      <c r="G385" s="36"/>
      <c r="H385" s="36"/>
      <c r="I385" s="36"/>
      <c r="J385" s="36"/>
      <c r="K385" s="37">
        <v>1.05</v>
      </c>
      <c r="L385" s="37">
        <f>ROUND(33.08,3)</f>
        <v>33.08</v>
      </c>
      <c r="M385" s="38">
        <f>ROUND(K385*L385,2)</f>
        <v>34.729999999999997</v>
      </c>
    </row>
    <row r="386" spans="1:13" ht="15.2" customHeight="1">
      <c r="A386" s="35" t="s">
        <v>515</v>
      </c>
      <c r="B386" s="35" t="s">
        <v>451</v>
      </c>
      <c r="C386" s="35" t="s">
        <v>516</v>
      </c>
      <c r="D386" s="36" t="s">
        <v>517</v>
      </c>
      <c r="E386" s="36"/>
      <c r="F386" s="36"/>
      <c r="G386" s="36"/>
      <c r="H386" s="36"/>
      <c r="I386" s="36"/>
      <c r="J386" s="36"/>
      <c r="K386" s="37">
        <v>0.05</v>
      </c>
      <c r="L386" s="37">
        <f>ROUND(11.68,3)</f>
        <v>11.68</v>
      </c>
      <c r="M386" s="38">
        <f>ROUND(K386*L386,2)</f>
        <v>0.57999999999999996</v>
      </c>
    </row>
    <row r="387" spans="1:13" ht="15.2" customHeight="1">
      <c r="A387" s="35" t="s">
        <v>603</v>
      </c>
      <c r="B387" s="35" t="s">
        <v>455</v>
      </c>
      <c r="C387" s="35" t="s">
        <v>456</v>
      </c>
      <c r="D387" s="36" t="s">
        <v>604</v>
      </c>
      <c r="E387" s="36"/>
      <c r="F387" s="36"/>
      <c r="G387" s="36"/>
      <c r="H387" s="36"/>
      <c r="I387" s="36"/>
      <c r="J387" s="36"/>
      <c r="K387" s="37">
        <v>0.13</v>
      </c>
      <c r="L387" s="37">
        <f>ROUND(20.33,3)</f>
        <v>20.329999999999998</v>
      </c>
      <c r="M387" s="38">
        <f>ROUND(K387*L387,2)</f>
        <v>2.64</v>
      </c>
    </row>
    <row r="388" spans="1:13" ht="15.2" customHeight="1">
      <c r="A388" s="35" t="s">
        <v>605</v>
      </c>
      <c r="B388" s="35" t="s">
        <v>455</v>
      </c>
      <c r="C388" s="35" t="s">
        <v>456</v>
      </c>
      <c r="D388" s="36" t="s">
        <v>606</v>
      </c>
      <c r="E388" s="36"/>
      <c r="F388" s="36"/>
      <c r="G388" s="36"/>
      <c r="H388" s="36"/>
      <c r="I388" s="36"/>
      <c r="J388" s="36"/>
      <c r="K388" s="37">
        <v>0.13</v>
      </c>
      <c r="L388" s="37">
        <f>ROUND(17.34,3)</f>
        <v>17.34</v>
      </c>
      <c r="M388" s="38">
        <f>ROUND(K388*L388,2)</f>
        <v>2.25</v>
      </c>
    </row>
    <row r="389" spans="1:13" ht="15.2" customHeight="1">
      <c r="A389" s="35" t="s">
        <v>460</v>
      </c>
      <c r="B389" s="35"/>
      <c r="C389" s="35" t="s">
        <v>460</v>
      </c>
      <c r="D389" s="36" t="s">
        <v>461</v>
      </c>
      <c r="E389" s="36"/>
      <c r="F389" s="36"/>
      <c r="G389" s="36"/>
      <c r="H389" s="36"/>
      <c r="I389" s="36"/>
      <c r="J389" s="36"/>
      <c r="K389" s="37">
        <v>2</v>
      </c>
      <c r="L389" s="37">
        <f>ROUND(40.2,3)</f>
        <v>40.200000000000003</v>
      </c>
      <c r="M389" s="38">
        <f>ROUND((K389*L389)/100,2)</f>
        <v>0.8</v>
      </c>
    </row>
    <row r="390" spans="1:13" ht="15.4" customHeight="1">
      <c r="A390" s="52"/>
      <c r="B390" s="52"/>
      <c r="C390" s="52"/>
      <c r="D390" s="53" t="s">
        <v>656</v>
      </c>
      <c r="E390" s="52"/>
      <c r="F390" s="52"/>
      <c r="G390" s="52"/>
      <c r="H390" s="52"/>
      <c r="I390" s="52"/>
      <c r="J390" s="52"/>
      <c r="K390" s="54">
        <v>218</v>
      </c>
      <c r="L390" s="55">
        <f>ROUND((M385+M386+M387+M388+M389)*(1+M2/100),2)</f>
        <v>42.23</v>
      </c>
      <c r="M390" s="55">
        <f>ROUND(K390*L390,2)</f>
        <v>9206.14</v>
      </c>
    </row>
    <row r="391" spans="1:13" ht="15.4" customHeight="1">
      <c r="A391" s="56" t="s">
        <v>584</v>
      </c>
      <c r="B391" s="57" t="s">
        <v>431</v>
      </c>
      <c r="C391" s="57" t="s">
        <v>3</v>
      </c>
      <c r="D391" s="58" t="s">
        <v>585</v>
      </c>
      <c r="E391" s="58"/>
      <c r="F391" s="58"/>
      <c r="G391" s="58"/>
      <c r="H391" s="58"/>
      <c r="I391" s="58"/>
      <c r="J391" s="58"/>
      <c r="K391" s="59">
        <f>SUM(K394:K394)</f>
        <v>2</v>
      </c>
      <c r="L391" s="60">
        <f>ROUND(385*(1+M2/100),2)</f>
        <v>396.55</v>
      </c>
      <c r="M391" s="60">
        <f>ROUND(K391*L391,2)</f>
        <v>793.1</v>
      </c>
    </row>
    <row r="392" spans="1:13" ht="12.2" customHeight="1">
      <c r="A392" s="39"/>
      <c r="B392" s="39"/>
      <c r="C392" s="39"/>
      <c r="D392" s="36" t="s">
        <v>586</v>
      </c>
      <c r="E392" s="36"/>
      <c r="F392" s="36"/>
      <c r="G392" s="36"/>
      <c r="H392" s="36"/>
      <c r="I392" s="36"/>
      <c r="J392" s="36"/>
      <c r="K392" s="36"/>
      <c r="L392" s="36"/>
      <c r="M392" s="36"/>
    </row>
    <row r="393" spans="1:13" ht="15.2" customHeight="1">
      <c r="A393" s="39"/>
      <c r="B393" s="39"/>
      <c r="C393" s="39"/>
      <c r="D393" s="39"/>
      <c r="E393" s="40"/>
      <c r="F393" s="41" t="s">
        <v>434</v>
      </c>
      <c r="G393" s="41" t="s">
        <v>435</v>
      </c>
      <c r="H393" s="41" t="s">
        <v>436</v>
      </c>
      <c r="I393" s="41" t="s">
        <v>437</v>
      </c>
      <c r="J393" s="41" t="s">
        <v>438</v>
      </c>
      <c r="K393" s="41" t="s">
        <v>439</v>
      </c>
      <c r="L393" s="39"/>
      <c r="M393" s="39"/>
    </row>
    <row r="394" spans="1:13" ht="21.4" customHeight="1">
      <c r="A394" s="39"/>
      <c r="B394" s="39"/>
      <c r="C394" s="39"/>
      <c r="D394" s="42"/>
      <c r="E394" s="43" t="s">
        <v>587</v>
      </c>
      <c r="F394" s="44">
        <v>2</v>
      </c>
      <c r="G394" s="45"/>
      <c r="H394" s="45"/>
      <c r="I394" s="45"/>
      <c r="J394" s="46">
        <f>ROUND(F394,3)</f>
        <v>2</v>
      </c>
      <c r="K394" s="47">
        <f>SUM(J394:J394)</f>
        <v>2</v>
      </c>
      <c r="L394" s="39"/>
      <c r="M394" s="39"/>
    </row>
    <row r="395" spans="1:13" ht="15.4" customHeight="1">
      <c r="A395" s="34" t="s">
        <v>658</v>
      </c>
      <c r="B395" s="35" t="s">
        <v>431</v>
      </c>
      <c r="C395" s="35" t="s">
        <v>422</v>
      </c>
      <c r="D395" s="36" t="s">
        <v>579</v>
      </c>
      <c r="E395" s="36"/>
      <c r="F395" s="36"/>
      <c r="G395" s="36"/>
      <c r="H395" s="36"/>
      <c r="I395" s="36"/>
      <c r="J395" s="36"/>
      <c r="K395" s="37">
        <f>SUM(K398:K399)</f>
        <v>4</v>
      </c>
      <c r="L395" s="38">
        <f>L405</f>
        <v>27.24</v>
      </c>
      <c r="M395" s="38">
        <f>ROUND(K395*L395,2)</f>
        <v>108.96</v>
      </c>
    </row>
    <row r="396" spans="1:13" ht="49.15" customHeight="1">
      <c r="A396" s="39"/>
      <c r="B396" s="39"/>
      <c r="C396" s="39"/>
      <c r="D396" s="36" t="s">
        <v>580</v>
      </c>
      <c r="E396" s="36"/>
      <c r="F396" s="36"/>
      <c r="G396" s="36"/>
      <c r="H396" s="36"/>
      <c r="I396" s="36"/>
      <c r="J396" s="36"/>
      <c r="K396" s="36"/>
      <c r="L396" s="36"/>
      <c r="M396" s="36"/>
    </row>
    <row r="397" spans="1:13" ht="15.2" customHeight="1">
      <c r="A397" s="39"/>
      <c r="B397" s="39"/>
      <c r="C397" s="39"/>
      <c r="D397" s="39"/>
      <c r="E397" s="40"/>
      <c r="F397" s="41" t="s">
        <v>434</v>
      </c>
      <c r="G397" s="41" t="s">
        <v>435</v>
      </c>
      <c r="H397" s="41" t="s">
        <v>436</v>
      </c>
      <c r="I397" s="41" t="s">
        <v>437</v>
      </c>
      <c r="J397" s="41" t="s">
        <v>438</v>
      </c>
      <c r="K397" s="41" t="s">
        <v>439</v>
      </c>
      <c r="L397" s="39"/>
      <c r="M397" s="39"/>
    </row>
    <row r="398" spans="1:13" ht="30.6" customHeight="1">
      <c r="A398" s="39"/>
      <c r="B398" s="39"/>
      <c r="C398" s="39"/>
      <c r="D398" s="42"/>
      <c r="E398" s="43" t="s">
        <v>581</v>
      </c>
      <c r="F398" s="44">
        <v>2</v>
      </c>
      <c r="G398" s="45"/>
      <c r="H398" s="45"/>
      <c r="I398" s="45"/>
      <c r="J398" s="46">
        <f>ROUND(F398,3)</f>
        <v>2</v>
      </c>
      <c r="K398" s="48"/>
      <c r="L398" s="39"/>
      <c r="M398" s="39"/>
    </row>
    <row r="399" spans="1:13" ht="30.6" customHeight="1">
      <c r="A399" s="39"/>
      <c r="B399" s="39"/>
      <c r="C399" s="39"/>
      <c r="D399" s="42"/>
      <c r="E399" s="35" t="s">
        <v>582</v>
      </c>
      <c r="F399" s="49">
        <v>2</v>
      </c>
      <c r="G399" s="37"/>
      <c r="H399" s="37"/>
      <c r="I399" s="37"/>
      <c r="J399" s="50">
        <f>ROUND(F399,3)</f>
        <v>2</v>
      </c>
      <c r="K399" s="51">
        <f>SUM(J398:J399)</f>
        <v>4</v>
      </c>
      <c r="L399" s="39"/>
      <c r="M399" s="39"/>
    </row>
    <row r="400" spans="1:13" ht="15.2" customHeight="1">
      <c r="A400" s="35" t="s">
        <v>583</v>
      </c>
      <c r="B400" s="35" t="s">
        <v>451</v>
      </c>
      <c r="C400" s="35" t="s">
        <v>422</v>
      </c>
      <c r="D400" s="36" t="s">
        <v>579</v>
      </c>
      <c r="E400" s="36"/>
      <c r="F400" s="36"/>
      <c r="G400" s="36"/>
      <c r="H400" s="36"/>
      <c r="I400" s="36"/>
      <c r="J400" s="36"/>
      <c r="K400" s="37">
        <v>1</v>
      </c>
      <c r="L400" s="37">
        <f>ROUND(21.57,3)</f>
        <v>21.57</v>
      </c>
      <c r="M400" s="38">
        <f>ROUND(K400*L400,2)</f>
        <v>21.57</v>
      </c>
    </row>
    <row r="401" spans="1:13" ht="15.2" customHeight="1">
      <c r="A401" s="35" t="s">
        <v>452</v>
      </c>
      <c r="B401" s="35" t="s">
        <v>451</v>
      </c>
      <c r="C401" s="35" t="s">
        <v>422</v>
      </c>
      <c r="D401" s="36" t="s">
        <v>453</v>
      </c>
      <c r="E401" s="36"/>
      <c r="F401" s="36"/>
      <c r="G401" s="36"/>
      <c r="H401" s="36"/>
      <c r="I401" s="36"/>
      <c r="J401" s="36"/>
      <c r="K401" s="37">
        <v>0.1</v>
      </c>
      <c r="L401" s="37">
        <f>ROUND(2.1,3)</f>
        <v>2.1</v>
      </c>
      <c r="M401" s="38">
        <f>ROUND(K401*L401,2)</f>
        <v>0.21</v>
      </c>
    </row>
    <row r="402" spans="1:13" ht="15.2" customHeight="1">
      <c r="A402" s="35" t="s">
        <v>454</v>
      </c>
      <c r="B402" s="35" t="s">
        <v>455</v>
      </c>
      <c r="C402" s="35" t="s">
        <v>456</v>
      </c>
      <c r="D402" s="36" t="s">
        <v>457</v>
      </c>
      <c r="E402" s="36"/>
      <c r="F402" s="36"/>
      <c r="G402" s="36"/>
      <c r="H402" s="36"/>
      <c r="I402" s="36"/>
      <c r="J402" s="36"/>
      <c r="K402" s="37">
        <v>0.11</v>
      </c>
      <c r="L402" s="37">
        <f>ROUND(20.33,3)</f>
        <v>20.329999999999998</v>
      </c>
      <c r="M402" s="38">
        <f>ROUND(K402*L402,2)</f>
        <v>2.2400000000000002</v>
      </c>
    </row>
    <row r="403" spans="1:13" ht="15.2" customHeight="1">
      <c r="A403" s="35" t="s">
        <v>458</v>
      </c>
      <c r="B403" s="35" t="s">
        <v>455</v>
      </c>
      <c r="C403" s="35" t="s">
        <v>456</v>
      </c>
      <c r="D403" s="36" t="s">
        <v>459</v>
      </c>
      <c r="E403" s="36"/>
      <c r="F403" s="36"/>
      <c r="G403" s="36"/>
      <c r="H403" s="36"/>
      <c r="I403" s="36"/>
      <c r="J403" s="36"/>
      <c r="K403" s="37">
        <v>0.11</v>
      </c>
      <c r="L403" s="37">
        <f>ROUND(17.32,3)</f>
        <v>17.32</v>
      </c>
      <c r="M403" s="38">
        <f>ROUND(K403*L403,2)</f>
        <v>1.91</v>
      </c>
    </row>
    <row r="404" spans="1:13" ht="15.2" customHeight="1">
      <c r="A404" s="35" t="s">
        <v>460</v>
      </c>
      <c r="B404" s="35"/>
      <c r="C404" s="35" t="s">
        <v>460</v>
      </c>
      <c r="D404" s="36" t="s">
        <v>461</v>
      </c>
      <c r="E404" s="36"/>
      <c r="F404" s="36"/>
      <c r="G404" s="36"/>
      <c r="H404" s="36"/>
      <c r="I404" s="36"/>
      <c r="J404" s="36"/>
      <c r="K404" s="37">
        <v>2</v>
      </c>
      <c r="L404" s="37">
        <f>ROUND(25.93,3)</f>
        <v>25.93</v>
      </c>
      <c r="M404" s="38">
        <f>ROUND((K404*L404)/100,2)</f>
        <v>0.52</v>
      </c>
    </row>
    <row r="405" spans="1:13" ht="15.4" customHeight="1">
      <c r="A405" s="52"/>
      <c r="B405" s="52"/>
      <c r="C405" s="52"/>
      <c r="D405" s="53" t="s">
        <v>658</v>
      </c>
      <c r="E405" s="52"/>
      <c r="F405" s="52"/>
      <c r="G405" s="52"/>
      <c r="H405" s="52"/>
      <c r="I405" s="52"/>
      <c r="J405" s="52"/>
      <c r="K405" s="54">
        <v>4</v>
      </c>
      <c r="L405" s="55">
        <f>ROUND((M400+M401+M402+M403+M404)*(1+M2/100),2)</f>
        <v>27.24</v>
      </c>
      <c r="M405" s="55">
        <f>ROUND(K405*L405,2)</f>
        <v>108.96</v>
      </c>
    </row>
    <row r="406" spans="1:13" ht="15.4" customHeight="1">
      <c r="A406" s="56" t="s">
        <v>588</v>
      </c>
      <c r="B406" s="57" t="s">
        <v>431</v>
      </c>
      <c r="C406" s="57" t="s">
        <v>3</v>
      </c>
      <c r="D406" s="58" t="s">
        <v>589</v>
      </c>
      <c r="E406" s="58"/>
      <c r="F406" s="58"/>
      <c r="G406" s="58"/>
      <c r="H406" s="58"/>
      <c r="I406" s="58"/>
      <c r="J406" s="58"/>
      <c r="K406" s="59">
        <f>SUM(K409:K410)</f>
        <v>2</v>
      </c>
      <c r="L406" s="60">
        <f>L416</f>
        <v>1229.6199999999999</v>
      </c>
      <c r="M406" s="60">
        <f>ROUND(K406*L406,2)</f>
        <v>2459.2399999999998</v>
      </c>
    </row>
    <row r="407" spans="1:13" ht="12.2" customHeight="1">
      <c r="A407" s="39"/>
      <c r="B407" s="39"/>
      <c r="C407" s="39"/>
      <c r="D407" s="36" t="s">
        <v>590</v>
      </c>
      <c r="E407" s="36"/>
      <c r="F407" s="36"/>
      <c r="G407" s="36"/>
      <c r="H407" s="36"/>
      <c r="I407" s="36"/>
      <c r="J407" s="36"/>
      <c r="K407" s="36"/>
      <c r="L407" s="36"/>
      <c r="M407" s="36"/>
    </row>
    <row r="408" spans="1:13" ht="15.2" customHeight="1">
      <c r="A408" s="39"/>
      <c r="B408" s="39"/>
      <c r="C408" s="39"/>
      <c r="D408" s="39"/>
      <c r="E408" s="40"/>
      <c r="F408" s="41" t="s">
        <v>434</v>
      </c>
      <c r="G408" s="41" t="s">
        <v>435</v>
      </c>
      <c r="H408" s="41" t="s">
        <v>436</v>
      </c>
      <c r="I408" s="41" t="s">
        <v>437</v>
      </c>
      <c r="J408" s="41" t="s">
        <v>438</v>
      </c>
      <c r="K408" s="41" t="s">
        <v>439</v>
      </c>
      <c r="L408" s="39"/>
      <c r="M408" s="39"/>
    </row>
    <row r="409" spans="1:13" ht="15.2" customHeight="1">
      <c r="A409" s="39"/>
      <c r="B409" s="39"/>
      <c r="C409" s="39"/>
      <c r="D409" s="42"/>
      <c r="E409" s="43" t="s">
        <v>659</v>
      </c>
      <c r="F409" s="44">
        <v>1</v>
      </c>
      <c r="G409" s="45"/>
      <c r="H409" s="45"/>
      <c r="I409" s="45"/>
      <c r="J409" s="46">
        <f>ROUND(F409,3)</f>
        <v>1</v>
      </c>
      <c r="K409" s="48"/>
      <c r="L409" s="39"/>
      <c r="M409" s="39"/>
    </row>
    <row r="410" spans="1:13" ht="15.2" customHeight="1">
      <c r="A410" s="39"/>
      <c r="B410" s="39"/>
      <c r="C410" s="39"/>
      <c r="D410" s="42"/>
      <c r="E410" s="35" t="s">
        <v>660</v>
      </c>
      <c r="F410" s="49">
        <v>1</v>
      </c>
      <c r="G410" s="37"/>
      <c r="H410" s="37"/>
      <c r="I410" s="37"/>
      <c r="J410" s="50">
        <f>ROUND(F410,3)</f>
        <v>1</v>
      </c>
      <c r="K410" s="51">
        <f>SUM(J409:J410)</f>
        <v>2</v>
      </c>
      <c r="L410" s="39"/>
      <c r="M410" s="39"/>
    </row>
    <row r="411" spans="1:13" ht="15.2" customHeight="1">
      <c r="A411" s="35" t="s">
        <v>529</v>
      </c>
      <c r="B411" s="35" t="s">
        <v>455</v>
      </c>
      <c r="C411" s="35" t="s">
        <v>456</v>
      </c>
      <c r="D411" s="36" t="s">
        <v>530</v>
      </c>
      <c r="E411" s="36"/>
      <c r="F411" s="36"/>
      <c r="G411" s="36"/>
      <c r="H411" s="36"/>
      <c r="I411" s="36"/>
      <c r="J411" s="36"/>
      <c r="K411" s="37">
        <v>3</v>
      </c>
      <c r="L411" s="37">
        <f>ROUND(17.32,3)</f>
        <v>17.32</v>
      </c>
      <c r="M411" s="38">
        <f t="shared" ref="M411:M417" si="17">ROUND(K411*L411,2)</f>
        <v>51.96</v>
      </c>
    </row>
    <row r="412" spans="1:13" ht="15.2" customHeight="1">
      <c r="A412" s="35" t="s">
        <v>527</v>
      </c>
      <c r="B412" s="35" t="s">
        <v>455</v>
      </c>
      <c r="C412" s="35" t="s">
        <v>456</v>
      </c>
      <c r="D412" s="36" t="s">
        <v>528</v>
      </c>
      <c r="E412" s="36"/>
      <c r="F412" s="36"/>
      <c r="G412" s="36"/>
      <c r="H412" s="36"/>
      <c r="I412" s="36"/>
      <c r="J412" s="36"/>
      <c r="K412" s="37">
        <v>3</v>
      </c>
      <c r="L412" s="37">
        <f>ROUND(20.33,3)</f>
        <v>20.329999999999998</v>
      </c>
      <c r="M412" s="38">
        <f t="shared" si="17"/>
        <v>60.99</v>
      </c>
    </row>
    <row r="413" spans="1:13" ht="21.4" customHeight="1">
      <c r="A413" s="35" t="s">
        <v>531</v>
      </c>
      <c r="B413" s="35" t="s">
        <v>451</v>
      </c>
      <c r="C413" s="35" t="s">
        <v>56</v>
      </c>
      <c r="D413" s="36" t="s">
        <v>532</v>
      </c>
      <c r="E413" s="36"/>
      <c r="F413" s="36"/>
      <c r="G413" s="36"/>
      <c r="H413" s="36"/>
      <c r="I413" s="36"/>
      <c r="J413" s="36"/>
      <c r="K413" s="37">
        <v>3</v>
      </c>
      <c r="L413" s="37">
        <f>ROUND(0.4,3)</f>
        <v>0.4</v>
      </c>
      <c r="M413" s="38">
        <f t="shared" si="17"/>
        <v>1.2</v>
      </c>
    </row>
    <row r="414" spans="1:13" ht="15.2" customHeight="1">
      <c r="A414" s="35" t="s">
        <v>593</v>
      </c>
      <c r="B414" s="35" t="s">
        <v>451</v>
      </c>
      <c r="C414" s="35" t="s">
        <v>422</v>
      </c>
      <c r="D414" s="36" t="s">
        <v>594</v>
      </c>
      <c r="E414" s="36"/>
      <c r="F414" s="36"/>
      <c r="G414" s="36"/>
      <c r="H414" s="36"/>
      <c r="I414" s="36"/>
      <c r="J414" s="36"/>
      <c r="K414" s="37">
        <v>1</v>
      </c>
      <c r="L414" s="37">
        <f>ROUND(1039,3)</f>
        <v>1039</v>
      </c>
      <c r="M414" s="38">
        <f t="shared" si="17"/>
        <v>1039</v>
      </c>
    </row>
    <row r="415" spans="1:13" ht="15.2" customHeight="1">
      <c r="A415" s="35" t="s">
        <v>493</v>
      </c>
      <c r="B415" s="35" t="s">
        <v>455</v>
      </c>
      <c r="C415" s="35" t="s">
        <v>456</v>
      </c>
      <c r="D415" s="36" t="s">
        <v>494</v>
      </c>
      <c r="E415" s="36"/>
      <c r="F415" s="36"/>
      <c r="G415" s="36"/>
      <c r="H415" s="36"/>
      <c r="I415" s="36"/>
      <c r="J415" s="36"/>
      <c r="K415" s="37">
        <v>2</v>
      </c>
      <c r="L415" s="37">
        <f>ROUND(20.33,3)</f>
        <v>20.329999999999998</v>
      </c>
      <c r="M415" s="38">
        <f t="shared" si="17"/>
        <v>40.659999999999997</v>
      </c>
    </row>
    <row r="416" spans="1:13" ht="15.4" customHeight="1">
      <c r="A416" s="52"/>
      <c r="B416" s="52"/>
      <c r="C416" s="52"/>
      <c r="D416" s="53" t="s">
        <v>588</v>
      </c>
      <c r="E416" s="52"/>
      <c r="F416" s="52"/>
      <c r="G416" s="52"/>
      <c r="H416" s="52"/>
      <c r="I416" s="52"/>
      <c r="J416" s="52"/>
      <c r="K416" s="54">
        <v>2</v>
      </c>
      <c r="L416" s="55">
        <f>ROUND((M411+M412+M413+M414+M415)*(1+M2/100),2)</f>
        <v>1229.6199999999999</v>
      </c>
      <c r="M416" s="55">
        <f t="shared" si="17"/>
        <v>2459.2399999999998</v>
      </c>
    </row>
    <row r="417" spans="1:13" ht="15.4" customHeight="1">
      <c r="A417" s="56" t="s">
        <v>661</v>
      </c>
      <c r="B417" s="57" t="s">
        <v>431</v>
      </c>
      <c r="C417" s="57" t="s">
        <v>534</v>
      </c>
      <c r="D417" s="58" t="s">
        <v>535</v>
      </c>
      <c r="E417" s="58"/>
      <c r="F417" s="58"/>
      <c r="G417" s="58"/>
      <c r="H417" s="58"/>
      <c r="I417" s="58"/>
      <c r="J417" s="58"/>
      <c r="K417" s="59">
        <f>SUM(K420:K420)</f>
        <v>250</v>
      </c>
      <c r="L417" s="60">
        <f>L428</f>
        <v>6.65</v>
      </c>
      <c r="M417" s="60">
        <f t="shared" si="17"/>
        <v>1662.5</v>
      </c>
    </row>
    <row r="418" spans="1:13" ht="76.900000000000006" customHeight="1">
      <c r="A418" s="39"/>
      <c r="B418" s="39"/>
      <c r="C418" s="39"/>
      <c r="D418" s="36" t="s">
        <v>536</v>
      </c>
      <c r="E418" s="36"/>
      <c r="F418" s="36"/>
      <c r="G418" s="36"/>
      <c r="H418" s="36"/>
      <c r="I418" s="36"/>
      <c r="J418" s="36"/>
      <c r="K418" s="36"/>
      <c r="L418" s="36"/>
      <c r="M418" s="36"/>
    </row>
    <row r="419" spans="1:13" ht="15.2" customHeight="1">
      <c r="A419" s="39"/>
      <c r="B419" s="39"/>
      <c r="C419" s="39"/>
      <c r="D419" s="39"/>
      <c r="E419" s="40"/>
      <c r="F419" s="41" t="s">
        <v>434</v>
      </c>
      <c r="G419" s="41" t="s">
        <v>435</v>
      </c>
      <c r="H419" s="41" t="s">
        <v>436</v>
      </c>
      <c r="I419" s="41" t="s">
        <v>437</v>
      </c>
      <c r="J419" s="41" t="s">
        <v>438</v>
      </c>
      <c r="K419" s="41" t="s">
        <v>439</v>
      </c>
      <c r="L419" s="39"/>
      <c r="M419" s="39"/>
    </row>
    <row r="420" spans="1:13" ht="15.2" customHeight="1">
      <c r="A420" s="39"/>
      <c r="B420" s="39"/>
      <c r="C420" s="39"/>
      <c r="D420" s="42"/>
      <c r="E420" s="43"/>
      <c r="F420" s="44">
        <v>250</v>
      </c>
      <c r="G420" s="45"/>
      <c r="H420" s="45"/>
      <c r="I420" s="45"/>
      <c r="J420" s="46">
        <f>ROUND(F420,3)</f>
        <v>250</v>
      </c>
      <c r="K420" s="47">
        <f>SUM(J420:J420)</f>
        <v>250</v>
      </c>
      <c r="L420" s="39"/>
      <c r="M420" s="39"/>
    </row>
    <row r="421" spans="1:13" ht="15.2" customHeight="1">
      <c r="A421" s="35" t="s">
        <v>537</v>
      </c>
      <c r="B421" s="35" t="s">
        <v>451</v>
      </c>
      <c r="C421" s="35" t="s">
        <v>538</v>
      </c>
      <c r="D421" s="36" t="s">
        <v>539</v>
      </c>
      <c r="E421" s="36"/>
      <c r="F421" s="36"/>
      <c r="G421" s="36"/>
      <c r="H421" s="36"/>
      <c r="I421" s="36"/>
      <c r="J421" s="36"/>
      <c r="K421" s="37">
        <v>1.4999999999999999E-2</v>
      </c>
      <c r="L421" s="37">
        <f>ROUND(78.89,3)</f>
        <v>78.89</v>
      </c>
      <c r="M421" s="38">
        <f t="shared" ref="M421:M426" si="18">ROUND(K421*L421,2)</f>
        <v>1.18</v>
      </c>
    </row>
    <row r="422" spans="1:13" ht="15.2" customHeight="1">
      <c r="A422" s="35" t="s">
        <v>540</v>
      </c>
      <c r="B422" s="35" t="s">
        <v>451</v>
      </c>
      <c r="C422" s="35" t="s">
        <v>538</v>
      </c>
      <c r="D422" s="36" t="s">
        <v>541</v>
      </c>
      <c r="E422" s="36"/>
      <c r="F422" s="36"/>
      <c r="G422" s="36"/>
      <c r="H422" s="36"/>
      <c r="I422" s="36"/>
      <c r="J422" s="36"/>
      <c r="K422" s="37">
        <v>6.0000000000000001E-3</v>
      </c>
      <c r="L422" s="37">
        <f>ROUND(1.5,3)</f>
        <v>1.5</v>
      </c>
      <c r="M422" s="38">
        <f t="shared" si="18"/>
        <v>0.01</v>
      </c>
    </row>
    <row r="423" spans="1:13" ht="21.4" customHeight="1">
      <c r="A423" s="35" t="s">
        <v>542</v>
      </c>
      <c r="B423" s="35" t="s">
        <v>451</v>
      </c>
      <c r="C423" s="35" t="s">
        <v>543</v>
      </c>
      <c r="D423" s="36" t="s">
        <v>544</v>
      </c>
      <c r="E423" s="36"/>
      <c r="F423" s="36"/>
      <c r="G423" s="36"/>
      <c r="H423" s="36"/>
      <c r="I423" s="36"/>
      <c r="J423" s="36"/>
      <c r="K423" s="37">
        <v>1.9E-2</v>
      </c>
      <c r="L423" s="37">
        <f>ROUND(36.25,3)</f>
        <v>36.25</v>
      </c>
      <c r="M423" s="38">
        <f t="shared" si="18"/>
        <v>0.69</v>
      </c>
    </row>
    <row r="424" spans="1:13" ht="15.2" customHeight="1">
      <c r="A424" s="35" t="s">
        <v>545</v>
      </c>
      <c r="B424" s="35" t="s">
        <v>525</v>
      </c>
      <c r="C424" s="35" t="s">
        <v>456</v>
      </c>
      <c r="D424" s="36" t="s">
        <v>546</v>
      </c>
      <c r="E424" s="36"/>
      <c r="F424" s="36"/>
      <c r="G424" s="36"/>
      <c r="H424" s="36"/>
      <c r="I424" s="36"/>
      <c r="J424" s="36"/>
      <c r="K424" s="37">
        <v>5.0000000000000001E-3</v>
      </c>
      <c r="L424" s="37">
        <f>ROUND(25,3)</f>
        <v>25</v>
      </c>
      <c r="M424" s="38">
        <f t="shared" si="18"/>
        <v>0.13</v>
      </c>
    </row>
    <row r="425" spans="1:13" ht="15.2" customHeight="1">
      <c r="A425" s="35" t="s">
        <v>547</v>
      </c>
      <c r="B425" s="35" t="s">
        <v>455</v>
      </c>
      <c r="C425" s="35" t="s">
        <v>456</v>
      </c>
      <c r="D425" s="36" t="s">
        <v>548</v>
      </c>
      <c r="E425" s="36"/>
      <c r="F425" s="36"/>
      <c r="G425" s="36"/>
      <c r="H425" s="36"/>
      <c r="I425" s="36"/>
      <c r="J425" s="36"/>
      <c r="K425" s="37">
        <v>7.0000000000000007E-2</v>
      </c>
      <c r="L425" s="37">
        <f>ROUND(20.09,3)</f>
        <v>20.09</v>
      </c>
      <c r="M425" s="38">
        <f t="shared" si="18"/>
        <v>1.41</v>
      </c>
    </row>
    <row r="426" spans="1:13" ht="15.2" customHeight="1">
      <c r="A426" s="35" t="s">
        <v>549</v>
      </c>
      <c r="B426" s="35" t="s">
        <v>455</v>
      </c>
      <c r="C426" s="35" t="s">
        <v>456</v>
      </c>
      <c r="D426" s="36" t="s">
        <v>550</v>
      </c>
      <c r="E426" s="36"/>
      <c r="F426" s="36"/>
      <c r="G426" s="36"/>
      <c r="H426" s="36"/>
      <c r="I426" s="36"/>
      <c r="J426" s="36"/>
      <c r="K426" s="37">
        <v>0.17599999999999999</v>
      </c>
      <c r="L426" s="37">
        <f>ROUND(15.88,3)</f>
        <v>15.88</v>
      </c>
      <c r="M426" s="38">
        <f t="shared" si="18"/>
        <v>2.79</v>
      </c>
    </row>
    <row r="427" spans="1:13" ht="15.2" customHeight="1">
      <c r="A427" s="35" t="s">
        <v>460</v>
      </c>
      <c r="B427" s="35"/>
      <c r="C427" s="35" t="s">
        <v>460</v>
      </c>
      <c r="D427" s="36" t="s">
        <v>461</v>
      </c>
      <c r="E427" s="36"/>
      <c r="F427" s="36"/>
      <c r="G427" s="36"/>
      <c r="H427" s="36"/>
      <c r="I427" s="36"/>
      <c r="J427" s="36"/>
      <c r="K427" s="37">
        <v>4</v>
      </c>
      <c r="L427" s="37">
        <f>ROUND(6.21,3)</f>
        <v>6.21</v>
      </c>
      <c r="M427" s="38">
        <f>ROUND((K427*L427)/100,2)</f>
        <v>0.25</v>
      </c>
    </row>
    <row r="428" spans="1:13" ht="15.4" customHeight="1">
      <c r="A428" s="52"/>
      <c r="B428" s="52"/>
      <c r="C428" s="52"/>
      <c r="D428" s="53" t="s">
        <v>661</v>
      </c>
      <c r="E428" s="52"/>
      <c r="F428" s="52"/>
      <c r="G428" s="52"/>
      <c r="H428" s="52"/>
      <c r="I428" s="52"/>
      <c r="J428" s="52"/>
      <c r="K428" s="54">
        <v>250</v>
      </c>
      <c r="L428" s="55">
        <f>ROUND((M421+M422+M423+M424+M425+M426+M427)*(1+M2/100),2)</f>
        <v>6.65</v>
      </c>
      <c r="M428" s="55">
        <f>ROUND(K428*L428,2)</f>
        <v>1662.5</v>
      </c>
    </row>
    <row r="429" spans="1:13" ht="15.4" customHeight="1">
      <c r="A429" s="56" t="s">
        <v>596</v>
      </c>
      <c r="B429" s="57" t="s">
        <v>431</v>
      </c>
      <c r="C429" s="57" t="s">
        <v>3</v>
      </c>
      <c r="D429" s="58" t="s">
        <v>597</v>
      </c>
      <c r="E429" s="58"/>
      <c r="F429" s="58"/>
      <c r="G429" s="58"/>
      <c r="H429" s="58"/>
      <c r="I429" s="58"/>
      <c r="J429" s="58"/>
      <c r="K429" s="59">
        <f>SUM(K432:K432)</f>
        <v>2</v>
      </c>
      <c r="L429" s="60">
        <f>ROUND(560*(1+M2/100),2)</f>
        <v>576.79999999999995</v>
      </c>
      <c r="M429" s="60">
        <f>ROUND(K429*L429,2)</f>
        <v>1153.5999999999999</v>
      </c>
    </row>
    <row r="430" spans="1:13" ht="12.2" customHeight="1">
      <c r="A430" s="39"/>
      <c r="B430" s="39"/>
      <c r="C430" s="39"/>
      <c r="D430" s="36" t="s">
        <v>597</v>
      </c>
      <c r="E430" s="36"/>
      <c r="F430" s="36"/>
      <c r="G430" s="36"/>
      <c r="H430" s="36"/>
      <c r="I430" s="36"/>
      <c r="J430" s="36"/>
      <c r="K430" s="36"/>
      <c r="L430" s="36"/>
      <c r="M430" s="36"/>
    </row>
    <row r="431" spans="1:13" ht="15.2" customHeight="1">
      <c r="A431" s="39"/>
      <c r="B431" s="39"/>
      <c r="C431" s="39"/>
      <c r="D431" s="39"/>
      <c r="E431" s="40"/>
      <c r="F431" s="41" t="s">
        <v>434</v>
      </c>
      <c r="G431" s="41" t="s">
        <v>435</v>
      </c>
      <c r="H431" s="41" t="s">
        <v>436</v>
      </c>
      <c r="I431" s="41" t="s">
        <v>437</v>
      </c>
      <c r="J431" s="41" t="s">
        <v>438</v>
      </c>
      <c r="K431" s="41" t="s">
        <v>439</v>
      </c>
      <c r="L431" s="39"/>
      <c r="M431" s="39"/>
    </row>
    <row r="432" spans="1:13" ht="15.2" customHeight="1">
      <c r="A432" s="39"/>
      <c r="B432" s="39"/>
      <c r="C432" s="39"/>
      <c r="D432" s="42"/>
      <c r="E432" s="43"/>
      <c r="F432" s="44">
        <v>2</v>
      </c>
      <c r="G432" s="45"/>
      <c r="H432" s="45"/>
      <c r="I432" s="45"/>
      <c r="J432" s="46">
        <f>ROUND(F432,3)</f>
        <v>2</v>
      </c>
      <c r="K432" s="47">
        <f>SUM(J432:J432)</f>
        <v>2</v>
      </c>
      <c r="L432" s="39"/>
      <c r="M432" s="39"/>
    </row>
    <row r="433" spans="1:13" ht="15.4" customHeight="1">
      <c r="A433" s="34" t="s">
        <v>612</v>
      </c>
      <c r="B433" s="35" t="s">
        <v>431</v>
      </c>
      <c r="C433" s="35" t="s">
        <v>3</v>
      </c>
      <c r="D433" s="36" t="s">
        <v>613</v>
      </c>
      <c r="E433" s="36"/>
      <c r="F433" s="36"/>
      <c r="G433" s="36"/>
      <c r="H433" s="36"/>
      <c r="I433" s="36"/>
      <c r="J433" s="36"/>
      <c r="K433" s="37">
        <f>ROUND(14,2)</f>
        <v>14</v>
      </c>
      <c r="L433" s="38">
        <f>L439</f>
        <v>223.01</v>
      </c>
      <c r="M433" s="38">
        <f>ROUND(K433*L433,2)</f>
        <v>3122.14</v>
      </c>
    </row>
    <row r="434" spans="1:13" ht="12.2" customHeight="1">
      <c r="A434" s="39"/>
      <c r="B434" s="39"/>
      <c r="C434" s="39"/>
      <c r="D434" s="36" t="s">
        <v>614</v>
      </c>
      <c r="E434" s="36"/>
      <c r="F434" s="36"/>
      <c r="G434" s="36"/>
      <c r="H434" s="36"/>
      <c r="I434" s="36"/>
      <c r="J434" s="36"/>
      <c r="K434" s="36"/>
      <c r="L434" s="36"/>
      <c r="M434" s="36"/>
    </row>
    <row r="435" spans="1:13" ht="15.2" customHeight="1">
      <c r="A435" s="35" t="s">
        <v>529</v>
      </c>
      <c r="B435" s="35" t="s">
        <v>455</v>
      </c>
      <c r="C435" s="35" t="s">
        <v>456</v>
      </c>
      <c r="D435" s="36" t="s">
        <v>530</v>
      </c>
      <c r="E435" s="36"/>
      <c r="F435" s="36"/>
      <c r="G435" s="36"/>
      <c r="H435" s="36"/>
      <c r="I435" s="36"/>
      <c r="J435" s="36"/>
      <c r="K435" s="37">
        <v>1</v>
      </c>
      <c r="L435" s="37">
        <f>ROUND(17.32,3)</f>
        <v>17.32</v>
      </c>
      <c r="M435" s="38">
        <f t="shared" ref="M435:M440" si="19">ROUND(K435*L435,2)</f>
        <v>17.32</v>
      </c>
    </row>
    <row r="436" spans="1:13" ht="15.2" customHeight="1">
      <c r="A436" s="35" t="s">
        <v>527</v>
      </c>
      <c r="B436" s="35" t="s">
        <v>455</v>
      </c>
      <c r="C436" s="35" t="s">
        <v>456</v>
      </c>
      <c r="D436" s="36" t="s">
        <v>528</v>
      </c>
      <c r="E436" s="36"/>
      <c r="F436" s="36"/>
      <c r="G436" s="36"/>
      <c r="H436" s="36"/>
      <c r="I436" s="36"/>
      <c r="J436" s="36"/>
      <c r="K436" s="37">
        <v>1</v>
      </c>
      <c r="L436" s="37">
        <f>ROUND(20.33,3)</f>
        <v>20.329999999999998</v>
      </c>
      <c r="M436" s="38">
        <f t="shared" si="19"/>
        <v>20.329999999999998</v>
      </c>
    </row>
    <row r="437" spans="1:13" ht="15.2" customHeight="1">
      <c r="A437" s="35" t="s">
        <v>615</v>
      </c>
      <c r="B437" s="35" t="s">
        <v>451</v>
      </c>
      <c r="C437" s="35" t="s">
        <v>3</v>
      </c>
      <c r="D437" s="36" t="s">
        <v>616</v>
      </c>
      <c r="E437" s="36"/>
      <c r="F437" s="36"/>
      <c r="G437" s="36"/>
      <c r="H437" s="36"/>
      <c r="I437" s="36"/>
      <c r="J437" s="36"/>
      <c r="K437" s="37">
        <v>1</v>
      </c>
      <c r="L437" s="37">
        <f>ROUND(152.23,3)</f>
        <v>152.22999999999999</v>
      </c>
      <c r="M437" s="38">
        <f t="shared" si="19"/>
        <v>152.22999999999999</v>
      </c>
    </row>
    <row r="438" spans="1:13" ht="15.2" customHeight="1">
      <c r="A438" s="35" t="s">
        <v>617</v>
      </c>
      <c r="B438" s="35" t="s">
        <v>451</v>
      </c>
      <c r="C438" s="35" t="s">
        <v>3</v>
      </c>
      <c r="D438" s="36" t="s">
        <v>618</v>
      </c>
      <c r="E438" s="36"/>
      <c r="F438" s="36"/>
      <c r="G438" s="36"/>
      <c r="H438" s="36"/>
      <c r="I438" s="36"/>
      <c r="J438" s="36"/>
      <c r="K438" s="37">
        <v>1</v>
      </c>
      <c r="L438" s="37">
        <f>ROUND(26.63,3)</f>
        <v>26.63</v>
      </c>
      <c r="M438" s="38">
        <f t="shared" si="19"/>
        <v>26.63</v>
      </c>
    </row>
    <row r="439" spans="1:13" ht="15.4" customHeight="1">
      <c r="A439" s="52"/>
      <c r="B439" s="52"/>
      <c r="C439" s="52"/>
      <c r="D439" s="53" t="s">
        <v>612</v>
      </c>
      <c r="E439" s="52"/>
      <c r="F439" s="52"/>
      <c r="G439" s="52"/>
      <c r="H439" s="52"/>
      <c r="I439" s="52"/>
      <c r="J439" s="52"/>
      <c r="K439" s="54">
        <v>14</v>
      </c>
      <c r="L439" s="55">
        <f>ROUND((M435+M436+M437+M438)*(1+M2/100),2)</f>
        <v>223.01</v>
      </c>
      <c r="M439" s="55">
        <f t="shared" si="19"/>
        <v>3122.14</v>
      </c>
    </row>
    <row r="440" spans="1:13" ht="15.4" customHeight="1">
      <c r="A440" s="56" t="s">
        <v>619</v>
      </c>
      <c r="B440" s="57" t="s">
        <v>431</v>
      </c>
      <c r="C440" s="57" t="s">
        <v>3</v>
      </c>
      <c r="D440" s="58" t="s">
        <v>620</v>
      </c>
      <c r="E440" s="58"/>
      <c r="F440" s="58"/>
      <c r="G440" s="58"/>
      <c r="H440" s="58"/>
      <c r="I440" s="58"/>
      <c r="J440" s="58"/>
      <c r="K440" s="59">
        <f>ROUND(1,2)</f>
        <v>1</v>
      </c>
      <c r="L440" s="60">
        <f>ROUND(1500*(1+M2/100),2)</f>
        <v>1545</v>
      </c>
      <c r="M440" s="60">
        <f t="shared" si="19"/>
        <v>1545</v>
      </c>
    </row>
    <row r="441" spans="1:13" ht="12.2" customHeight="1">
      <c r="A441" s="39"/>
      <c r="B441" s="39"/>
      <c r="C441" s="39"/>
      <c r="D441" s="36" t="s">
        <v>621</v>
      </c>
      <c r="E441" s="36"/>
      <c r="F441" s="36"/>
      <c r="G441" s="36"/>
      <c r="H441" s="36"/>
      <c r="I441" s="36"/>
      <c r="J441" s="36"/>
      <c r="K441" s="36"/>
      <c r="L441" s="36"/>
      <c r="M441" s="36"/>
    </row>
    <row r="442" spans="1:13" ht="15.4" customHeight="1">
      <c r="A442" s="34" t="s">
        <v>622</v>
      </c>
      <c r="B442" s="35" t="s">
        <v>431</v>
      </c>
      <c r="C442" s="35" t="s">
        <v>3</v>
      </c>
      <c r="D442" s="36" t="s">
        <v>623</v>
      </c>
      <c r="E442" s="36"/>
      <c r="F442" s="36"/>
      <c r="G442" s="36"/>
      <c r="H442" s="36"/>
      <c r="I442" s="36"/>
      <c r="J442" s="36"/>
      <c r="K442" s="37">
        <f>ROUND(14,2)</f>
        <v>14</v>
      </c>
      <c r="L442" s="38">
        <f>L448</f>
        <v>1595.6</v>
      </c>
      <c r="M442" s="38">
        <f>ROUND(K442*L442,2)</f>
        <v>22338.400000000001</v>
      </c>
    </row>
    <row r="443" spans="1:13" ht="12.2" customHeight="1">
      <c r="A443" s="39"/>
      <c r="B443" s="39"/>
      <c r="C443" s="39"/>
      <c r="D443" s="36" t="s">
        <v>624</v>
      </c>
      <c r="E443" s="36"/>
      <c r="F443" s="36"/>
      <c r="G443" s="36"/>
      <c r="H443" s="36"/>
      <c r="I443" s="36"/>
      <c r="J443" s="36"/>
      <c r="K443" s="36"/>
      <c r="L443" s="36"/>
      <c r="M443" s="36"/>
    </row>
    <row r="444" spans="1:13" ht="15.2" customHeight="1">
      <c r="A444" s="35" t="s">
        <v>529</v>
      </c>
      <c r="B444" s="35" t="s">
        <v>455</v>
      </c>
      <c r="C444" s="35" t="s">
        <v>456</v>
      </c>
      <c r="D444" s="36" t="s">
        <v>530</v>
      </c>
      <c r="E444" s="36"/>
      <c r="F444" s="36"/>
      <c r="G444" s="36"/>
      <c r="H444" s="36"/>
      <c r="I444" s="36"/>
      <c r="J444" s="36"/>
      <c r="K444" s="37">
        <v>0.88</v>
      </c>
      <c r="L444" s="37">
        <f>ROUND(17.32,3)</f>
        <v>17.32</v>
      </c>
      <c r="M444" s="38">
        <f t="shared" ref="M444:M449" si="20">ROUND(K444*L444,2)</f>
        <v>15.24</v>
      </c>
    </row>
    <row r="445" spans="1:13" ht="15.2" customHeight="1">
      <c r="A445" s="35" t="s">
        <v>527</v>
      </c>
      <c r="B445" s="35" t="s">
        <v>455</v>
      </c>
      <c r="C445" s="35" t="s">
        <v>456</v>
      </c>
      <c r="D445" s="36" t="s">
        <v>528</v>
      </c>
      <c r="E445" s="36"/>
      <c r="F445" s="36"/>
      <c r="G445" s="36"/>
      <c r="H445" s="36"/>
      <c r="I445" s="36"/>
      <c r="J445" s="36"/>
      <c r="K445" s="37">
        <v>0.88</v>
      </c>
      <c r="L445" s="37">
        <f>ROUND(20.33,3)</f>
        <v>20.329999999999998</v>
      </c>
      <c r="M445" s="38">
        <f t="shared" si="20"/>
        <v>17.89</v>
      </c>
    </row>
    <row r="446" spans="1:13" ht="15.2" customHeight="1">
      <c r="A446" s="35" t="s">
        <v>625</v>
      </c>
      <c r="B446" s="35" t="s">
        <v>451</v>
      </c>
      <c r="C446" s="35" t="s">
        <v>3</v>
      </c>
      <c r="D446" s="36" t="s">
        <v>626</v>
      </c>
      <c r="E446" s="36"/>
      <c r="F446" s="36"/>
      <c r="G446" s="36"/>
      <c r="H446" s="36"/>
      <c r="I446" s="36"/>
      <c r="J446" s="36"/>
      <c r="K446" s="37">
        <v>1</v>
      </c>
      <c r="L446" s="37">
        <f>ROUND(1512.4,3)</f>
        <v>1512.4</v>
      </c>
      <c r="M446" s="38">
        <f t="shared" si="20"/>
        <v>1512.4</v>
      </c>
    </row>
    <row r="447" spans="1:13" ht="21.4" customHeight="1">
      <c r="A447" s="35" t="s">
        <v>531</v>
      </c>
      <c r="B447" s="35" t="s">
        <v>451</v>
      </c>
      <c r="C447" s="35" t="s">
        <v>56</v>
      </c>
      <c r="D447" s="36" t="s">
        <v>532</v>
      </c>
      <c r="E447" s="36"/>
      <c r="F447" s="36"/>
      <c r="G447" s="36"/>
      <c r="H447" s="36"/>
      <c r="I447" s="36"/>
      <c r="J447" s="36"/>
      <c r="K447" s="37">
        <v>9</v>
      </c>
      <c r="L447" s="37">
        <f>ROUND(0.4,3)</f>
        <v>0.4</v>
      </c>
      <c r="M447" s="38">
        <f t="shared" si="20"/>
        <v>3.6</v>
      </c>
    </row>
    <row r="448" spans="1:13" ht="15.4" customHeight="1">
      <c r="A448" s="52"/>
      <c r="B448" s="52"/>
      <c r="C448" s="52"/>
      <c r="D448" s="53" t="s">
        <v>622</v>
      </c>
      <c r="E448" s="52"/>
      <c r="F448" s="52"/>
      <c r="G448" s="52"/>
      <c r="H448" s="52"/>
      <c r="I448" s="52"/>
      <c r="J448" s="52"/>
      <c r="K448" s="54">
        <v>14</v>
      </c>
      <c r="L448" s="55">
        <f>ROUND((M444+M445+M446+M447)*(1+M2/100),2)</f>
        <v>1595.6</v>
      </c>
      <c r="M448" s="55">
        <f t="shared" si="20"/>
        <v>22338.400000000001</v>
      </c>
    </row>
    <row r="449" spans="1:13" ht="15.4" customHeight="1">
      <c r="A449" s="56" t="s">
        <v>627</v>
      </c>
      <c r="B449" s="57" t="s">
        <v>431</v>
      </c>
      <c r="C449" s="57" t="s">
        <v>3</v>
      </c>
      <c r="D449" s="58" t="s">
        <v>628</v>
      </c>
      <c r="E449" s="58"/>
      <c r="F449" s="58"/>
      <c r="G449" s="58"/>
      <c r="H449" s="58"/>
      <c r="I449" s="58"/>
      <c r="J449" s="58"/>
      <c r="K449" s="59">
        <f>ROUND(14,2)</f>
        <v>14</v>
      </c>
      <c r="L449" s="60">
        <f>L454</f>
        <v>192.57</v>
      </c>
      <c r="M449" s="60">
        <f t="shared" si="20"/>
        <v>2695.98</v>
      </c>
    </row>
    <row r="450" spans="1:13" ht="12.2" customHeight="1">
      <c r="A450" s="39"/>
      <c r="B450" s="39"/>
      <c r="C450" s="39"/>
      <c r="D450" s="36" t="s">
        <v>629</v>
      </c>
      <c r="E450" s="36"/>
      <c r="F450" s="36"/>
      <c r="G450" s="36"/>
      <c r="H450" s="36"/>
      <c r="I450" s="36"/>
      <c r="J450" s="36"/>
      <c r="K450" s="36"/>
      <c r="L450" s="36"/>
      <c r="M450" s="36"/>
    </row>
    <row r="451" spans="1:13" ht="15.2" customHeight="1">
      <c r="A451" s="35" t="s">
        <v>529</v>
      </c>
      <c r="B451" s="35" t="s">
        <v>455</v>
      </c>
      <c r="C451" s="35" t="s">
        <v>456</v>
      </c>
      <c r="D451" s="36" t="s">
        <v>530</v>
      </c>
      <c r="E451" s="36"/>
      <c r="F451" s="36"/>
      <c r="G451" s="36"/>
      <c r="H451" s="36"/>
      <c r="I451" s="36"/>
      <c r="J451" s="36"/>
      <c r="K451" s="37">
        <v>1</v>
      </c>
      <c r="L451" s="37">
        <f>ROUND(17.32,3)</f>
        <v>17.32</v>
      </c>
      <c r="M451" s="38">
        <f>ROUND(K451*L451,2)</f>
        <v>17.32</v>
      </c>
    </row>
    <row r="452" spans="1:13" ht="15.2" customHeight="1">
      <c r="A452" s="35" t="s">
        <v>458</v>
      </c>
      <c r="B452" s="35" t="s">
        <v>455</v>
      </c>
      <c r="C452" s="35" t="s">
        <v>456</v>
      </c>
      <c r="D452" s="36" t="s">
        <v>459</v>
      </c>
      <c r="E452" s="36"/>
      <c r="F452" s="36"/>
      <c r="G452" s="36"/>
      <c r="H452" s="36"/>
      <c r="I452" s="36"/>
      <c r="J452" s="36"/>
      <c r="K452" s="37">
        <v>1</v>
      </c>
      <c r="L452" s="37">
        <f>ROUND(17.32,3)</f>
        <v>17.32</v>
      </c>
      <c r="M452" s="38">
        <f>ROUND(K452*L452,2)</f>
        <v>17.32</v>
      </c>
    </row>
    <row r="453" spans="1:13" ht="15.2" customHeight="1">
      <c r="A453" s="35" t="s">
        <v>630</v>
      </c>
      <c r="B453" s="35" t="s">
        <v>451</v>
      </c>
      <c r="C453" s="35" t="s">
        <v>3</v>
      </c>
      <c r="D453" s="36" t="s">
        <v>631</v>
      </c>
      <c r="E453" s="36"/>
      <c r="F453" s="36"/>
      <c r="G453" s="36"/>
      <c r="H453" s="36"/>
      <c r="I453" s="36"/>
      <c r="J453" s="36"/>
      <c r="K453" s="37">
        <v>1</v>
      </c>
      <c r="L453" s="37">
        <f>ROUND(152.32,3)</f>
        <v>152.32</v>
      </c>
      <c r="M453" s="38">
        <f>ROUND(K453*L453,2)</f>
        <v>152.32</v>
      </c>
    </row>
    <row r="454" spans="1:13" ht="15.4" customHeight="1">
      <c r="A454" s="52"/>
      <c r="B454" s="52"/>
      <c r="C454" s="52"/>
      <c r="D454" s="53" t="s">
        <v>627</v>
      </c>
      <c r="E454" s="52"/>
      <c r="F454" s="52"/>
      <c r="G454" s="52"/>
      <c r="H454" s="52"/>
      <c r="I454" s="52"/>
      <c r="J454" s="52"/>
      <c r="K454" s="54">
        <v>14</v>
      </c>
      <c r="L454" s="55">
        <f>ROUND((M451+M452+M453)*(1+M2/100),2)</f>
        <v>192.57</v>
      </c>
      <c r="M454" s="55">
        <f>ROUND(K454*L454,2)</f>
        <v>2695.98</v>
      </c>
    </row>
    <row r="455" spans="1:13" ht="15.4" customHeight="1">
      <c r="A455" s="56" t="s">
        <v>637</v>
      </c>
      <c r="B455" s="57" t="s">
        <v>431</v>
      </c>
      <c r="C455" s="57" t="s">
        <v>3</v>
      </c>
      <c r="D455" s="58" t="s">
        <v>638</v>
      </c>
      <c r="E455" s="58"/>
      <c r="F455" s="58"/>
      <c r="G455" s="58"/>
      <c r="H455" s="58"/>
      <c r="I455" s="58"/>
      <c r="J455" s="58"/>
      <c r="K455" s="59">
        <f>ROUND(14,2)</f>
        <v>14</v>
      </c>
      <c r="L455" s="60">
        <f>ROUND(241*(1+M2/100),2)</f>
        <v>248.23</v>
      </c>
      <c r="M455" s="60">
        <f>ROUND(K455*L455,2)</f>
        <v>3475.22</v>
      </c>
    </row>
    <row r="456" spans="1:13" ht="12.2" customHeight="1">
      <c r="A456" s="39"/>
      <c r="B456" s="39"/>
      <c r="C456" s="39"/>
      <c r="D456" s="36" t="s">
        <v>639</v>
      </c>
      <c r="E456" s="36"/>
      <c r="F456" s="36"/>
      <c r="G456" s="36"/>
      <c r="H456" s="36"/>
      <c r="I456" s="36"/>
      <c r="J456" s="36"/>
      <c r="K456" s="36"/>
      <c r="L456" s="36"/>
      <c r="M456" s="36"/>
    </row>
    <row r="457" spans="1:13" ht="21.4" customHeight="1">
      <c r="A457" s="34" t="s">
        <v>662</v>
      </c>
      <c r="B457" s="35" t="s">
        <v>431</v>
      </c>
      <c r="C457" s="35" t="s">
        <v>422</v>
      </c>
      <c r="D457" s="36" t="s">
        <v>633</v>
      </c>
      <c r="E457" s="36"/>
      <c r="F457" s="36"/>
      <c r="G457" s="36"/>
      <c r="H457" s="36"/>
      <c r="I457" s="36"/>
      <c r="J457" s="36"/>
      <c r="K457" s="37">
        <f>ROUND(14,2)</f>
        <v>14</v>
      </c>
      <c r="L457" s="38">
        <f>L462</f>
        <v>47.15</v>
      </c>
      <c r="M457" s="38">
        <f>ROUND(K457*L457,2)</f>
        <v>660.1</v>
      </c>
    </row>
    <row r="458" spans="1:13" ht="49.15" customHeight="1">
      <c r="A458" s="39"/>
      <c r="B458" s="39"/>
      <c r="C458" s="39"/>
      <c r="D458" s="36" t="s">
        <v>634</v>
      </c>
      <c r="E458" s="36"/>
      <c r="F458" s="36"/>
      <c r="G458" s="36"/>
      <c r="H458" s="36"/>
      <c r="I458" s="36"/>
      <c r="J458" s="36"/>
      <c r="K458" s="36"/>
      <c r="L458" s="36"/>
      <c r="M458" s="36"/>
    </row>
    <row r="459" spans="1:13" ht="30.6" customHeight="1">
      <c r="A459" s="35" t="s">
        <v>635</v>
      </c>
      <c r="B459" s="35" t="s">
        <v>451</v>
      </c>
      <c r="C459" s="35" t="s">
        <v>422</v>
      </c>
      <c r="D459" s="36" t="s">
        <v>636</v>
      </c>
      <c r="E459" s="36"/>
      <c r="F459" s="36"/>
      <c r="G459" s="36"/>
      <c r="H459" s="36"/>
      <c r="I459" s="36"/>
      <c r="J459" s="36"/>
      <c r="K459" s="37">
        <v>1</v>
      </c>
      <c r="L459" s="37">
        <f>ROUND(39.29,3)</f>
        <v>39.29</v>
      </c>
      <c r="M459" s="38">
        <f>ROUND(K459*L459,2)</f>
        <v>39.29</v>
      </c>
    </row>
    <row r="460" spans="1:13" ht="15.2" customHeight="1">
      <c r="A460" s="35" t="s">
        <v>493</v>
      </c>
      <c r="B460" s="35" t="s">
        <v>455</v>
      </c>
      <c r="C460" s="35" t="s">
        <v>456</v>
      </c>
      <c r="D460" s="36" t="s">
        <v>494</v>
      </c>
      <c r="E460" s="36"/>
      <c r="F460" s="36"/>
      <c r="G460" s="36"/>
      <c r="H460" s="36"/>
      <c r="I460" s="36"/>
      <c r="J460" s="36"/>
      <c r="K460" s="37">
        <v>0.27500000000000002</v>
      </c>
      <c r="L460" s="37">
        <f>ROUND(20.33,3)</f>
        <v>20.329999999999998</v>
      </c>
      <c r="M460" s="38">
        <f>ROUND(K460*L460,2)</f>
        <v>5.59</v>
      </c>
    </row>
    <row r="461" spans="1:13" ht="15.2" customHeight="1">
      <c r="A461" s="35" t="s">
        <v>460</v>
      </c>
      <c r="B461" s="35"/>
      <c r="C461" s="35" t="s">
        <v>460</v>
      </c>
      <c r="D461" s="36" t="s">
        <v>461</v>
      </c>
      <c r="E461" s="36"/>
      <c r="F461" s="36"/>
      <c r="G461" s="36"/>
      <c r="H461" s="36"/>
      <c r="I461" s="36"/>
      <c r="J461" s="36"/>
      <c r="K461" s="37">
        <v>2</v>
      </c>
      <c r="L461" s="37">
        <f>ROUND(44.88,3)</f>
        <v>44.88</v>
      </c>
      <c r="M461" s="38">
        <f>ROUND((K461*L461)/100,2)</f>
        <v>0.9</v>
      </c>
    </row>
    <row r="462" spans="1:13" ht="15.4" customHeight="1">
      <c r="A462" s="52"/>
      <c r="B462" s="52"/>
      <c r="C462" s="52"/>
      <c r="D462" s="53" t="s">
        <v>662</v>
      </c>
      <c r="E462" s="52"/>
      <c r="F462" s="52"/>
      <c r="G462" s="52"/>
      <c r="H462" s="52"/>
      <c r="I462" s="52"/>
      <c r="J462" s="52"/>
      <c r="K462" s="54">
        <v>14</v>
      </c>
      <c r="L462" s="55">
        <f>ROUND((M459+M460+M461)*(1+M2/100),2)</f>
        <v>47.15</v>
      </c>
      <c r="M462" s="55">
        <f>ROUND(K462*L462,2)</f>
        <v>660.1</v>
      </c>
    </row>
    <row r="463" spans="1:13" ht="15.4" customHeight="1">
      <c r="A463" s="79"/>
      <c r="B463" s="79"/>
      <c r="C463" s="79"/>
      <c r="D463" s="80" t="s">
        <v>651</v>
      </c>
      <c r="E463" s="81"/>
      <c r="F463" s="81"/>
      <c r="G463" s="81"/>
      <c r="H463" s="81"/>
      <c r="I463" s="81"/>
      <c r="J463" s="81"/>
      <c r="K463" s="81"/>
      <c r="L463" s="82">
        <f>M368+M381+M391+M395+M406+M417+M429+M433+M440+M442+M449+M455+M457</f>
        <v>56307.56</v>
      </c>
      <c r="M463" s="82">
        <f>ROUND(L463,2)</f>
        <v>56307.56</v>
      </c>
    </row>
    <row r="464" spans="1:13" ht="15.4" customHeight="1">
      <c r="A464" s="75" t="s">
        <v>663</v>
      </c>
      <c r="B464" s="75" t="s">
        <v>428</v>
      </c>
      <c r="C464" s="76"/>
      <c r="D464" s="77" t="s">
        <v>664</v>
      </c>
      <c r="E464" s="77"/>
      <c r="F464" s="77"/>
      <c r="G464" s="77"/>
      <c r="H464" s="77"/>
      <c r="I464" s="77"/>
      <c r="J464" s="77"/>
      <c r="K464" s="76"/>
      <c r="L464" s="78">
        <f>L506</f>
        <v>16611.650000000001</v>
      </c>
      <c r="M464" s="78">
        <f>ROUND(L464,2)</f>
        <v>16611.650000000001</v>
      </c>
    </row>
    <row r="465" spans="1:13" ht="15.4" customHeight="1">
      <c r="A465" s="34" t="s">
        <v>665</v>
      </c>
      <c r="B465" s="35" t="s">
        <v>431</v>
      </c>
      <c r="C465" s="35" t="s">
        <v>3</v>
      </c>
      <c r="D465" s="36" t="s">
        <v>666</v>
      </c>
      <c r="E465" s="36"/>
      <c r="F465" s="36"/>
      <c r="G465" s="36"/>
      <c r="H465" s="36"/>
      <c r="I465" s="36"/>
      <c r="J465" s="36"/>
      <c r="K465" s="37">
        <f>SUM(K468:K469)</f>
        <v>36</v>
      </c>
      <c r="L465" s="38">
        <f>L472</f>
        <v>42.42</v>
      </c>
      <c r="M465" s="38">
        <f>ROUND(K465*L465,2)</f>
        <v>1527.12</v>
      </c>
    </row>
    <row r="466" spans="1:13" ht="12.2" customHeight="1">
      <c r="A466" s="39"/>
      <c r="B466" s="39"/>
      <c r="C466" s="39"/>
      <c r="D466" s="36" t="s">
        <v>667</v>
      </c>
      <c r="E466" s="36"/>
      <c r="F466" s="36"/>
      <c r="G466" s="36"/>
      <c r="H466" s="36"/>
      <c r="I466" s="36"/>
      <c r="J466" s="36"/>
      <c r="K466" s="36"/>
      <c r="L466" s="36"/>
      <c r="M466" s="36"/>
    </row>
    <row r="467" spans="1:13" ht="15.2" customHeight="1">
      <c r="A467" s="39"/>
      <c r="B467" s="39"/>
      <c r="C467" s="39"/>
      <c r="D467" s="39"/>
      <c r="E467" s="40"/>
      <c r="F467" s="41" t="s">
        <v>434</v>
      </c>
      <c r="G467" s="41" t="s">
        <v>435</v>
      </c>
      <c r="H467" s="41" t="s">
        <v>436</v>
      </c>
      <c r="I467" s="41" t="s">
        <v>437</v>
      </c>
      <c r="J467" s="41" t="s">
        <v>438</v>
      </c>
      <c r="K467" s="41" t="s">
        <v>439</v>
      </c>
      <c r="L467" s="39"/>
      <c r="M467" s="39"/>
    </row>
    <row r="468" spans="1:13" ht="15.2" customHeight="1">
      <c r="A468" s="39"/>
      <c r="B468" s="39"/>
      <c r="C468" s="39"/>
      <c r="D468" s="42"/>
      <c r="E468" s="43" t="s">
        <v>668</v>
      </c>
      <c r="F468" s="44">
        <v>28</v>
      </c>
      <c r="G468" s="45"/>
      <c r="H468" s="45"/>
      <c r="I468" s="45"/>
      <c r="J468" s="46">
        <f>ROUND(F468,3)</f>
        <v>28</v>
      </c>
      <c r="K468" s="48"/>
      <c r="L468" s="39"/>
      <c r="M468" s="39"/>
    </row>
    <row r="469" spans="1:13" ht="15.2" customHeight="1">
      <c r="A469" s="39"/>
      <c r="B469" s="39"/>
      <c r="C469" s="39"/>
      <c r="D469" s="42"/>
      <c r="E469" s="35" t="s">
        <v>669</v>
      </c>
      <c r="F469" s="49">
        <v>8</v>
      </c>
      <c r="G469" s="37"/>
      <c r="H469" s="37"/>
      <c r="I469" s="37"/>
      <c r="J469" s="50">
        <f>ROUND(F469,3)</f>
        <v>8</v>
      </c>
      <c r="K469" s="51">
        <f>SUM(J468:J469)</f>
        <v>36</v>
      </c>
      <c r="L469" s="39"/>
      <c r="M469" s="39"/>
    </row>
    <row r="470" spans="1:13" ht="15.2" customHeight="1">
      <c r="A470" s="35" t="s">
        <v>529</v>
      </c>
      <c r="B470" s="35" t="s">
        <v>455</v>
      </c>
      <c r="C470" s="35" t="s">
        <v>456</v>
      </c>
      <c r="D470" s="36" t="s">
        <v>530</v>
      </c>
      <c r="E470" s="36"/>
      <c r="F470" s="36"/>
      <c r="G470" s="36"/>
      <c r="H470" s="36"/>
      <c r="I470" s="36"/>
      <c r="J470" s="36"/>
      <c r="K470" s="37">
        <v>1.5</v>
      </c>
      <c r="L470" s="37">
        <f>ROUND(17.32,3)</f>
        <v>17.32</v>
      </c>
      <c r="M470" s="38">
        <f>ROUND(K470*L470,2)</f>
        <v>25.98</v>
      </c>
    </row>
    <row r="471" spans="1:13" ht="15.2" customHeight="1">
      <c r="A471" s="35" t="s">
        <v>670</v>
      </c>
      <c r="B471" s="35" t="s">
        <v>451</v>
      </c>
      <c r="C471" s="35" t="s">
        <v>3</v>
      </c>
      <c r="D471" s="36" t="s">
        <v>671</v>
      </c>
      <c r="E471" s="36"/>
      <c r="F471" s="36"/>
      <c r="G471" s="36"/>
      <c r="H471" s="36"/>
      <c r="I471" s="36"/>
      <c r="J471" s="36"/>
      <c r="K471" s="37">
        <v>1</v>
      </c>
      <c r="L471" s="37">
        <f>ROUND(15.2,3)</f>
        <v>15.2</v>
      </c>
      <c r="M471" s="38">
        <f>ROUND(K471*L471,2)</f>
        <v>15.2</v>
      </c>
    </row>
    <row r="472" spans="1:13" ht="15.4" customHeight="1">
      <c r="A472" s="52"/>
      <c r="B472" s="52"/>
      <c r="C472" s="52"/>
      <c r="D472" s="53" t="s">
        <v>665</v>
      </c>
      <c r="E472" s="52"/>
      <c r="F472" s="52"/>
      <c r="G472" s="52"/>
      <c r="H472" s="52"/>
      <c r="I472" s="52"/>
      <c r="J472" s="52"/>
      <c r="K472" s="54">
        <v>36</v>
      </c>
      <c r="L472" s="55">
        <f>ROUND((M470+M471)*(1+M2/100),2)</f>
        <v>42.42</v>
      </c>
      <c r="M472" s="55">
        <f>ROUND(K472*L472,2)</f>
        <v>1527.12</v>
      </c>
    </row>
    <row r="473" spans="1:13" ht="25.15" customHeight="1">
      <c r="A473" s="56" t="s">
        <v>672</v>
      </c>
      <c r="B473" s="57" t="s">
        <v>431</v>
      </c>
      <c r="C473" s="57" t="s">
        <v>3</v>
      </c>
      <c r="D473" s="58" t="s">
        <v>673</v>
      </c>
      <c r="E473" s="58"/>
      <c r="F473" s="58"/>
      <c r="G473" s="58"/>
      <c r="H473" s="58"/>
      <c r="I473" s="58"/>
      <c r="J473" s="58"/>
      <c r="K473" s="59">
        <f>SUM(K476:K477)</f>
        <v>36</v>
      </c>
      <c r="L473" s="60">
        <f>L480</f>
        <v>82.24</v>
      </c>
      <c r="M473" s="60">
        <f>ROUND(K473*L473,2)</f>
        <v>2960.64</v>
      </c>
    </row>
    <row r="474" spans="1:13" ht="12.2" customHeight="1">
      <c r="A474" s="39"/>
      <c r="B474" s="39"/>
      <c r="C474" s="39"/>
      <c r="D474" s="36" t="s">
        <v>674</v>
      </c>
      <c r="E474" s="36"/>
      <c r="F474" s="36"/>
      <c r="G474" s="36"/>
      <c r="H474" s="36"/>
      <c r="I474" s="36"/>
      <c r="J474" s="36"/>
      <c r="K474" s="36"/>
      <c r="L474" s="36"/>
      <c r="M474" s="36"/>
    </row>
    <row r="475" spans="1:13" ht="15.2" customHeight="1">
      <c r="A475" s="39"/>
      <c r="B475" s="39"/>
      <c r="C475" s="39"/>
      <c r="D475" s="39"/>
      <c r="E475" s="40"/>
      <c r="F475" s="41" t="s">
        <v>434</v>
      </c>
      <c r="G475" s="41" t="s">
        <v>435</v>
      </c>
      <c r="H475" s="41" t="s">
        <v>436</v>
      </c>
      <c r="I475" s="41" t="s">
        <v>437</v>
      </c>
      <c r="J475" s="41" t="s">
        <v>438</v>
      </c>
      <c r="K475" s="41" t="s">
        <v>439</v>
      </c>
      <c r="L475" s="39"/>
      <c r="M475" s="39"/>
    </row>
    <row r="476" spans="1:13" ht="15.2" customHeight="1">
      <c r="A476" s="39"/>
      <c r="B476" s="39"/>
      <c r="C476" s="39"/>
      <c r="D476" s="42"/>
      <c r="E476" s="43" t="s">
        <v>668</v>
      </c>
      <c r="F476" s="44">
        <v>28</v>
      </c>
      <c r="G476" s="45"/>
      <c r="H476" s="45"/>
      <c r="I476" s="45"/>
      <c r="J476" s="46">
        <f>ROUND(F476,3)</f>
        <v>28</v>
      </c>
      <c r="K476" s="48"/>
      <c r="L476" s="39"/>
      <c r="M476" s="39"/>
    </row>
    <row r="477" spans="1:13" ht="15.2" customHeight="1">
      <c r="A477" s="39"/>
      <c r="B477" s="39"/>
      <c r="C477" s="39"/>
      <c r="D477" s="42"/>
      <c r="E477" s="35" t="s">
        <v>669</v>
      </c>
      <c r="F477" s="49">
        <v>8</v>
      </c>
      <c r="G477" s="37"/>
      <c r="H477" s="37"/>
      <c r="I477" s="37"/>
      <c r="J477" s="50">
        <f>ROUND(F477,3)</f>
        <v>8</v>
      </c>
      <c r="K477" s="51">
        <f>SUM(J476:J477)</f>
        <v>36</v>
      </c>
      <c r="L477" s="39"/>
      <c r="M477" s="39"/>
    </row>
    <row r="478" spans="1:13" ht="15.2" customHeight="1">
      <c r="A478" s="35" t="s">
        <v>529</v>
      </c>
      <c r="B478" s="35" t="s">
        <v>455</v>
      </c>
      <c r="C478" s="35" t="s">
        <v>456</v>
      </c>
      <c r="D478" s="36" t="s">
        <v>530</v>
      </c>
      <c r="E478" s="36"/>
      <c r="F478" s="36"/>
      <c r="G478" s="36"/>
      <c r="H478" s="36"/>
      <c r="I478" s="36"/>
      <c r="J478" s="36"/>
      <c r="K478" s="37">
        <v>2</v>
      </c>
      <c r="L478" s="37">
        <f>ROUND(17.32,3)</f>
        <v>17.32</v>
      </c>
      <c r="M478" s="38">
        <f>ROUND(K478*L478,2)</f>
        <v>34.64</v>
      </c>
    </row>
    <row r="479" spans="1:13" ht="15.2" customHeight="1">
      <c r="A479" s="35" t="s">
        <v>675</v>
      </c>
      <c r="B479" s="35" t="s">
        <v>451</v>
      </c>
      <c r="C479" s="35" t="s">
        <v>3</v>
      </c>
      <c r="D479" s="36" t="s">
        <v>676</v>
      </c>
      <c r="E479" s="36"/>
      <c r="F479" s="36"/>
      <c r="G479" s="36"/>
      <c r="H479" s="36"/>
      <c r="I479" s="36"/>
      <c r="J479" s="36"/>
      <c r="K479" s="37">
        <v>1</v>
      </c>
      <c r="L479" s="37">
        <f>ROUND(45.2,3)</f>
        <v>45.2</v>
      </c>
      <c r="M479" s="38">
        <f>ROUND(K479*L479,2)</f>
        <v>45.2</v>
      </c>
    </row>
    <row r="480" spans="1:13" ht="15.4" customHeight="1">
      <c r="A480" s="52"/>
      <c r="B480" s="52"/>
      <c r="C480" s="52"/>
      <c r="D480" s="53" t="s">
        <v>672</v>
      </c>
      <c r="E480" s="52"/>
      <c r="F480" s="52"/>
      <c r="G480" s="52"/>
      <c r="H480" s="52"/>
      <c r="I480" s="52"/>
      <c r="J480" s="52"/>
      <c r="K480" s="54">
        <v>36</v>
      </c>
      <c r="L480" s="55">
        <f>ROUND((M478+M479)*(1+M2/100),2)</f>
        <v>82.24</v>
      </c>
      <c r="M480" s="55">
        <f>ROUND(K480*L480,2)</f>
        <v>2960.64</v>
      </c>
    </row>
    <row r="481" spans="1:13" ht="15.4" customHeight="1">
      <c r="A481" s="56" t="s">
        <v>677</v>
      </c>
      <c r="B481" s="57" t="s">
        <v>431</v>
      </c>
      <c r="C481" s="57" t="s">
        <v>678</v>
      </c>
      <c r="D481" s="58" t="s">
        <v>679</v>
      </c>
      <c r="E481" s="58"/>
      <c r="F481" s="58"/>
      <c r="G481" s="58"/>
      <c r="H481" s="58"/>
      <c r="I481" s="58"/>
      <c r="J481" s="58"/>
      <c r="K481" s="59">
        <f>SUM(K484:K484)</f>
        <v>1</v>
      </c>
      <c r="L481" s="60">
        <f>ROUND(466.019*(1+M2/100),2)</f>
        <v>480</v>
      </c>
      <c r="M481" s="60">
        <f>ROUND(K481*L481,2)</f>
        <v>480</v>
      </c>
    </row>
    <row r="482" spans="1:13" ht="12.2" customHeight="1">
      <c r="A482" s="39"/>
      <c r="B482" s="39"/>
      <c r="C482" s="39"/>
      <c r="D482" s="36" t="s">
        <v>679</v>
      </c>
      <c r="E482" s="36"/>
      <c r="F482" s="36"/>
      <c r="G482" s="36"/>
      <c r="H482" s="36"/>
      <c r="I482" s="36"/>
      <c r="J482" s="36"/>
      <c r="K482" s="36"/>
      <c r="L482" s="36"/>
      <c r="M482" s="36"/>
    </row>
    <row r="483" spans="1:13" ht="15.2" customHeight="1">
      <c r="A483" s="39"/>
      <c r="B483" s="39"/>
      <c r="C483" s="39"/>
      <c r="D483" s="39"/>
      <c r="E483" s="40"/>
      <c r="F483" s="41" t="s">
        <v>434</v>
      </c>
      <c r="G483" s="41" t="s">
        <v>435</v>
      </c>
      <c r="H483" s="41" t="s">
        <v>436</v>
      </c>
      <c r="I483" s="41" t="s">
        <v>437</v>
      </c>
      <c r="J483" s="41" t="s">
        <v>438</v>
      </c>
      <c r="K483" s="41" t="s">
        <v>439</v>
      </c>
      <c r="L483" s="39"/>
      <c r="M483" s="39"/>
    </row>
    <row r="484" spans="1:13" ht="15.2" customHeight="1">
      <c r="A484" s="39"/>
      <c r="B484" s="39"/>
      <c r="C484" s="39"/>
      <c r="D484" s="42"/>
      <c r="E484" s="43"/>
      <c r="F484" s="44">
        <v>1</v>
      </c>
      <c r="G484" s="45"/>
      <c r="H484" s="45"/>
      <c r="I484" s="45"/>
      <c r="J484" s="46">
        <f>ROUND(F484,3)</f>
        <v>1</v>
      </c>
      <c r="K484" s="47">
        <f>SUM(J484:J484)</f>
        <v>1</v>
      </c>
      <c r="L484" s="39"/>
      <c r="M484" s="39"/>
    </row>
    <row r="485" spans="1:13" ht="49.15" customHeight="1">
      <c r="A485" s="34" t="s">
        <v>680</v>
      </c>
      <c r="B485" s="35" t="s">
        <v>431</v>
      </c>
      <c r="C485" s="35" t="s">
        <v>422</v>
      </c>
      <c r="D485" s="36" t="s">
        <v>681</v>
      </c>
      <c r="E485" s="36"/>
      <c r="F485" s="36"/>
      <c r="G485" s="36"/>
      <c r="H485" s="36"/>
      <c r="I485" s="36"/>
      <c r="J485" s="36"/>
      <c r="K485" s="37">
        <f>SUM(K488:K488)</f>
        <v>41</v>
      </c>
      <c r="L485" s="38">
        <f>L493</f>
        <v>26.29</v>
      </c>
      <c r="M485" s="38">
        <f>ROUND(K485*L485,2)</f>
        <v>1077.8900000000001</v>
      </c>
    </row>
    <row r="486" spans="1:13" ht="67.5" customHeight="1">
      <c r="A486" s="39"/>
      <c r="B486" s="39"/>
      <c r="C486" s="39"/>
      <c r="D486" s="36" t="s">
        <v>682</v>
      </c>
      <c r="E486" s="36"/>
      <c r="F486" s="36"/>
      <c r="G486" s="36"/>
      <c r="H486" s="36"/>
      <c r="I486" s="36"/>
      <c r="J486" s="36"/>
      <c r="K486" s="36"/>
      <c r="L486" s="36"/>
      <c r="M486" s="36"/>
    </row>
    <row r="487" spans="1:13" ht="15.2" customHeight="1">
      <c r="A487" s="39"/>
      <c r="B487" s="39"/>
      <c r="C487" s="39"/>
      <c r="D487" s="39"/>
      <c r="E487" s="40"/>
      <c r="F487" s="41" t="s">
        <v>434</v>
      </c>
      <c r="G487" s="41" t="s">
        <v>435</v>
      </c>
      <c r="H487" s="41" t="s">
        <v>436</v>
      </c>
      <c r="I487" s="41" t="s">
        <v>437</v>
      </c>
      <c r="J487" s="41" t="s">
        <v>438</v>
      </c>
      <c r="K487" s="41" t="s">
        <v>439</v>
      </c>
      <c r="L487" s="39"/>
      <c r="M487" s="39"/>
    </row>
    <row r="488" spans="1:13" ht="15.2" customHeight="1">
      <c r="A488" s="39"/>
      <c r="B488" s="39"/>
      <c r="C488" s="39"/>
      <c r="D488" s="42"/>
      <c r="E488" s="43"/>
      <c r="F488" s="44">
        <v>41</v>
      </c>
      <c r="G488" s="45"/>
      <c r="H488" s="45"/>
      <c r="I488" s="45"/>
      <c r="J488" s="46">
        <f>ROUND(F488,3)</f>
        <v>41</v>
      </c>
      <c r="K488" s="47">
        <f>SUM(J488:J488)</f>
        <v>41</v>
      </c>
      <c r="L488" s="39"/>
      <c r="M488" s="39"/>
    </row>
    <row r="489" spans="1:13" ht="15.2" customHeight="1">
      <c r="A489" s="35" t="s">
        <v>683</v>
      </c>
      <c r="B489" s="35" t="s">
        <v>451</v>
      </c>
      <c r="C489" s="35" t="s">
        <v>684</v>
      </c>
      <c r="D489" s="36" t="s">
        <v>685</v>
      </c>
      <c r="E489" s="36"/>
      <c r="F489" s="36"/>
      <c r="G489" s="36"/>
      <c r="H489" s="36"/>
      <c r="I489" s="36"/>
      <c r="J489" s="36"/>
      <c r="K489" s="37">
        <v>2.1999999999999999E-2</v>
      </c>
      <c r="L489" s="37">
        <f>ROUND(2.42,3)</f>
        <v>2.42</v>
      </c>
      <c r="M489" s="38">
        <f>ROUND(K489*L489,2)</f>
        <v>0.05</v>
      </c>
    </row>
    <row r="490" spans="1:13" ht="21.4" customHeight="1">
      <c r="A490" s="35" t="s">
        <v>686</v>
      </c>
      <c r="B490" s="35" t="s">
        <v>451</v>
      </c>
      <c r="C490" s="35" t="s">
        <v>422</v>
      </c>
      <c r="D490" s="36" t="s">
        <v>687</v>
      </c>
      <c r="E490" s="36"/>
      <c r="F490" s="36"/>
      <c r="G490" s="36"/>
      <c r="H490" s="36"/>
      <c r="I490" s="36"/>
      <c r="J490" s="36"/>
      <c r="K490" s="37">
        <v>1.611</v>
      </c>
      <c r="L490" s="37">
        <f>ROUND(12.26,3)</f>
        <v>12.26</v>
      </c>
      <c r="M490" s="38">
        <f>ROUND(K490*L490,2)</f>
        <v>19.75</v>
      </c>
    </row>
    <row r="491" spans="1:13" ht="15.2" customHeight="1">
      <c r="A491" s="35" t="s">
        <v>549</v>
      </c>
      <c r="B491" s="35" t="s">
        <v>455</v>
      </c>
      <c r="C491" s="35" t="s">
        <v>456</v>
      </c>
      <c r="D491" s="36" t="s">
        <v>550</v>
      </c>
      <c r="E491" s="36"/>
      <c r="F491" s="36"/>
      <c r="G491" s="36"/>
      <c r="H491" s="36"/>
      <c r="I491" s="36"/>
      <c r="J491" s="36"/>
      <c r="K491" s="37">
        <v>0.32900000000000001</v>
      </c>
      <c r="L491" s="37">
        <f>ROUND(15.88,3)</f>
        <v>15.88</v>
      </c>
      <c r="M491" s="38">
        <f>ROUND(K491*L491,2)</f>
        <v>5.22</v>
      </c>
    </row>
    <row r="492" spans="1:13" ht="15.2" customHeight="1">
      <c r="A492" s="35" t="s">
        <v>460</v>
      </c>
      <c r="B492" s="35"/>
      <c r="C492" s="35" t="s">
        <v>460</v>
      </c>
      <c r="D492" s="36" t="s">
        <v>461</v>
      </c>
      <c r="E492" s="36"/>
      <c r="F492" s="36"/>
      <c r="G492" s="36"/>
      <c r="H492" s="36"/>
      <c r="I492" s="36"/>
      <c r="J492" s="36"/>
      <c r="K492" s="37">
        <v>2</v>
      </c>
      <c r="L492" s="37">
        <f>ROUND(25.02,3)</f>
        <v>25.02</v>
      </c>
      <c r="M492" s="38">
        <f>ROUND((K492*L492)/100,2)</f>
        <v>0.5</v>
      </c>
    </row>
    <row r="493" spans="1:13" ht="15.4" customHeight="1">
      <c r="A493" s="52"/>
      <c r="B493" s="52"/>
      <c r="C493" s="52"/>
      <c r="D493" s="53" t="s">
        <v>680</v>
      </c>
      <c r="E493" s="52"/>
      <c r="F493" s="52"/>
      <c r="G493" s="52"/>
      <c r="H493" s="52"/>
      <c r="I493" s="52"/>
      <c r="J493" s="52"/>
      <c r="K493" s="54">
        <v>41</v>
      </c>
      <c r="L493" s="55">
        <f>ROUND((M489+M490+M491+M492)*(1+M2/100),2)</f>
        <v>26.29</v>
      </c>
      <c r="M493" s="55">
        <f>ROUND(K493*L493,2)</f>
        <v>1077.8900000000001</v>
      </c>
    </row>
    <row r="494" spans="1:13" ht="15.4" customHeight="1">
      <c r="A494" s="56" t="s">
        <v>688</v>
      </c>
      <c r="B494" s="57" t="s">
        <v>431</v>
      </c>
      <c r="C494" s="57" t="s">
        <v>534</v>
      </c>
      <c r="D494" s="58" t="s">
        <v>689</v>
      </c>
      <c r="E494" s="58"/>
      <c r="F494" s="58"/>
      <c r="G494" s="58"/>
      <c r="H494" s="58"/>
      <c r="I494" s="58"/>
      <c r="J494" s="58"/>
      <c r="K494" s="59">
        <f>ROUND(450,2)</f>
        <v>450</v>
      </c>
      <c r="L494" s="60">
        <f>L505</f>
        <v>23.48</v>
      </c>
      <c r="M494" s="60">
        <f>ROUND(K494*L494,2)</f>
        <v>10566</v>
      </c>
    </row>
    <row r="495" spans="1:13" ht="86.1" customHeight="1">
      <c r="A495" s="39"/>
      <c r="B495" s="39"/>
      <c r="C495" s="39"/>
      <c r="D495" s="36" t="s">
        <v>690</v>
      </c>
      <c r="E495" s="36"/>
      <c r="F495" s="36"/>
      <c r="G495" s="36"/>
      <c r="H495" s="36"/>
      <c r="I495" s="36"/>
      <c r="J495" s="36"/>
      <c r="K495" s="36"/>
      <c r="L495" s="36"/>
      <c r="M495" s="36"/>
    </row>
    <row r="496" spans="1:13" ht="30.6" customHeight="1">
      <c r="A496" s="35" t="s">
        <v>691</v>
      </c>
      <c r="B496" s="35" t="s">
        <v>451</v>
      </c>
      <c r="C496" s="35" t="s">
        <v>534</v>
      </c>
      <c r="D496" s="36" t="s">
        <v>692</v>
      </c>
      <c r="E496" s="36"/>
      <c r="F496" s="36"/>
      <c r="G496" s="36"/>
      <c r="H496" s="36"/>
      <c r="I496" s="36"/>
      <c r="J496" s="36"/>
      <c r="K496" s="37">
        <v>1.02</v>
      </c>
      <c r="L496" s="37">
        <f>ROUND(9.23,3)</f>
        <v>9.23</v>
      </c>
      <c r="M496" s="38">
        <f t="shared" ref="M496:M503" si="21">ROUND(K496*L496,2)</f>
        <v>9.41</v>
      </c>
    </row>
    <row r="497" spans="1:13" ht="15.2" customHeight="1">
      <c r="A497" s="35" t="s">
        <v>693</v>
      </c>
      <c r="B497" s="35" t="s">
        <v>451</v>
      </c>
      <c r="C497" s="35" t="s">
        <v>56</v>
      </c>
      <c r="D497" s="36" t="s">
        <v>694</v>
      </c>
      <c r="E497" s="36"/>
      <c r="F497" s="36"/>
      <c r="G497" s="36"/>
      <c r="H497" s="36"/>
      <c r="I497" s="36"/>
      <c r="J497" s="36"/>
      <c r="K497" s="37">
        <v>0.7</v>
      </c>
      <c r="L497" s="37">
        <f>ROUND(0.67,3)</f>
        <v>0.67</v>
      </c>
      <c r="M497" s="38">
        <f t="shared" si="21"/>
        <v>0.47</v>
      </c>
    </row>
    <row r="498" spans="1:13" ht="15.2" customHeight="1">
      <c r="A498" s="35" t="s">
        <v>695</v>
      </c>
      <c r="B498" s="35" t="s">
        <v>451</v>
      </c>
      <c r="C498" s="35" t="s">
        <v>56</v>
      </c>
      <c r="D498" s="36" t="s">
        <v>696</v>
      </c>
      <c r="E498" s="36"/>
      <c r="F498" s="36"/>
      <c r="G498" s="36"/>
      <c r="H498" s="36"/>
      <c r="I498" s="36"/>
      <c r="J498" s="36"/>
      <c r="K498" s="37">
        <v>1.5</v>
      </c>
      <c r="L498" s="37">
        <f>ROUND(0.67,3)</f>
        <v>0.67</v>
      </c>
      <c r="M498" s="38">
        <f t="shared" si="21"/>
        <v>1.01</v>
      </c>
    </row>
    <row r="499" spans="1:13" ht="15.2" customHeight="1">
      <c r="A499" s="35" t="s">
        <v>697</v>
      </c>
      <c r="B499" s="35" t="s">
        <v>451</v>
      </c>
      <c r="C499" s="35" t="s">
        <v>56</v>
      </c>
      <c r="D499" s="36" t="s">
        <v>698</v>
      </c>
      <c r="E499" s="36"/>
      <c r="F499" s="36"/>
      <c r="G499" s="36"/>
      <c r="H499" s="36"/>
      <c r="I499" s="36"/>
      <c r="J499" s="36"/>
      <c r="K499" s="37">
        <v>0.4</v>
      </c>
      <c r="L499" s="37">
        <f>ROUND(0.5,3)</f>
        <v>0.5</v>
      </c>
      <c r="M499" s="38">
        <f t="shared" si="21"/>
        <v>0.2</v>
      </c>
    </row>
    <row r="500" spans="1:13" ht="15.2" customHeight="1">
      <c r="A500" s="35" t="s">
        <v>699</v>
      </c>
      <c r="B500" s="35" t="s">
        <v>451</v>
      </c>
      <c r="C500" s="35" t="s">
        <v>422</v>
      </c>
      <c r="D500" s="36" t="s">
        <v>700</v>
      </c>
      <c r="E500" s="36"/>
      <c r="F500" s="36"/>
      <c r="G500" s="36"/>
      <c r="H500" s="36"/>
      <c r="I500" s="36"/>
      <c r="J500" s="36"/>
      <c r="K500" s="37">
        <v>2</v>
      </c>
      <c r="L500" s="37">
        <f>ROUND(0.33,3)</f>
        <v>0.33</v>
      </c>
      <c r="M500" s="38">
        <f t="shared" si="21"/>
        <v>0.66</v>
      </c>
    </row>
    <row r="501" spans="1:13" ht="15.2" customHeight="1">
      <c r="A501" s="35" t="s">
        <v>701</v>
      </c>
      <c r="B501" s="35" t="s">
        <v>451</v>
      </c>
      <c r="C501" s="35" t="s">
        <v>422</v>
      </c>
      <c r="D501" s="36" t="s">
        <v>702</v>
      </c>
      <c r="E501" s="36"/>
      <c r="F501" s="36"/>
      <c r="G501" s="36"/>
      <c r="H501" s="36"/>
      <c r="I501" s="36"/>
      <c r="J501" s="36"/>
      <c r="K501" s="37">
        <v>1</v>
      </c>
      <c r="L501" s="37">
        <f>ROUND(1.64,3)</f>
        <v>1.64</v>
      </c>
      <c r="M501" s="38">
        <f t="shared" si="21"/>
        <v>1.64</v>
      </c>
    </row>
    <row r="502" spans="1:13" ht="15.2" customHeight="1">
      <c r="A502" s="35" t="s">
        <v>703</v>
      </c>
      <c r="B502" s="35" t="s">
        <v>455</v>
      </c>
      <c r="C502" s="35" t="s">
        <v>456</v>
      </c>
      <c r="D502" s="36" t="s">
        <v>704</v>
      </c>
      <c r="E502" s="36"/>
      <c r="F502" s="36"/>
      <c r="G502" s="36"/>
      <c r="H502" s="36"/>
      <c r="I502" s="36"/>
      <c r="J502" s="36"/>
      <c r="K502" s="37">
        <v>0.223</v>
      </c>
      <c r="L502" s="37">
        <f>ROUND(21.68,3)</f>
        <v>21.68</v>
      </c>
      <c r="M502" s="38">
        <f t="shared" si="21"/>
        <v>4.83</v>
      </c>
    </row>
    <row r="503" spans="1:13" ht="15.2" customHeight="1">
      <c r="A503" s="35" t="s">
        <v>705</v>
      </c>
      <c r="B503" s="35" t="s">
        <v>455</v>
      </c>
      <c r="C503" s="35" t="s">
        <v>456</v>
      </c>
      <c r="D503" s="36" t="s">
        <v>706</v>
      </c>
      <c r="E503" s="36"/>
      <c r="F503" s="36"/>
      <c r="G503" s="36"/>
      <c r="H503" s="36"/>
      <c r="I503" s="36"/>
      <c r="J503" s="36"/>
      <c r="K503" s="37">
        <v>0.223</v>
      </c>
      <c r="L503" s="37">
        <f>ROUND(18.5,3)</f>
        <v>18.5</v>
      </c>
      <c r="M503" s="38">
        <f t="shared" si="21"/>
        <v>4.13</v>
      </c>
    </row>
    <row r="504" spans="1:13" ht="15.2" customHeight="1">
      <c r="A504" s="35" t="s">
        <v>460</v>
      </c>
      <c r="B504" s="35"/>
      <c r="C504" s="35" t="s">
        <v>460</v>
      </c>
      <c r="D504" s="36" t="s">
        <v>461</v>
      </c>
      <c r="E504" s="36"/>
      <c r="F504" s="36"/>
      <c r="G504" s="36"/>
      <c r="H504" s="36"/>
      <c r="I504" s="36"/>
      <c r="J504" s="36"/>
      <c r="K504" s="37">
        <v>2</v>
      </c>
      <c r="L504" s="37">
        <f>ROUND(22.35,3)</f>
        <v>22.35</v>
      </c>
      <c r="M504" s="38">
        <f>ROUND((K504*L504)/100,2)</f>
        <v>0.45</v>
      </c>
    </row>
    <row r="505" spans="1:13" ht="15.4" customHeight="1">
      <c r="A505" s="52"/>
      <c r="B505" s="52"/>
      <c r="C505" s="52"/>
      <c r="D505" s="53" t="s">
        <v>688</v>
      </c>
      <c r="E505" s="52"/>
      <c r="F505" s="52"/>
      <c r="G505" s="52"/>
      <c r="H505" s="52"/>
      <c r="I505" s="52"/>
      <c r="J505" s="52"/>
      <c r="K505" s="54">
        <v>450</v>
      </c>
      <c r="L505" s="55">
        <f>ROUND((M496+M497+M498+M499+M500+M501+M502+M503+M504)*(1+M2/100),2)</f>
        <v>23.48</v>
      </c>
      <c r="M505" s="55">
        <f>ROUND(K505*L505,2)</f>
        <v>10566</v>
      </c>
    </row>
    <row r="506" spans="1:13" ht="15.4" customHeight="1">
      <c r="A506" s="79"/>
      <c r="B506" s="79"/>
      <c r="C506" s="79"/>
      <c r="D506" s="80" t="s">
        <v>663</v>
      </c>
      <c r="E506" s="81"/>
      <c r="F506" s="81"/>
      <c r="G506" s="81"/>
      <c r="H506" s="81"/>
      <c r="I506" s="81"/>
      <c r="J506" s="81"/>
      <c r="K506" s="81"/>
      <c r="L506" s="82">
        <f>M465+M473+M481+M485+M494</f>
        <v>16611.650000000001</v>
      </c>
      <c r="M506" s="82">
        <f>ROUND(L506,2)</f>
        <v>16611.650000000001</v>
      </c>
    </row>
    <row r="507" spans="1:13" ht="15.4" customHeight="1">
      <c r="A507" s="79"/>
      <c r="B507" s="79"/>
      <c r="C507" s="79"/>
      <c r="D507" s="83" t="s">
        <v>99</v>
      </c>
      <c r="E507" s="84"/>
      <c r="F507" s="84"/>
      <c r="G507" s="84"/>
      <c r="H507" s="84"/>
      <c r="I507" s="84"/>
      <c r="J507" s="84"/>
      <c r="K507" s="84"/>
      <c r="L507" s="85">
        <f>M248+M366+M463+M506</f>
        <v>176073.67</v>
      </c>
      <c r="M507" s="85">
        <f>ROUND(L507,2)</f>
        <v>176073.67</v>
      </c>
    </row>
    <row r="508" spans="1:13" ht="15.4" customHeight="1">
      <c r="A508" s="64" t="s">
        <v>71</v>
      </c>
      <c r="B508" s="64" t="s">
        <v>428</v>
      </c>
      <c r="C508" s="65"/>
      <c r="D508" s="66" t="s">
        <v>707</v>
      </c>
      <c r="E508" s="66"/>
      <c r="F508" s="66"/>
      <c r="G508" s="66"/>
      <c r="H508" s="66"/>
      <c r="I508" s="66"/>
      <c r="J508" s="66"/>
      <c r="K508" s="65"/>
      <c r="L508" s="67">
        <f>L623</f>
        <v>42455.83</v>
      </c>
      <c r="M508" s="67">
        <f>ROUND(L508,2)</f>
        <v>42455.83</v>
      </c>
    </row>
    <row r="509" spans="1:13" ht="15.4" customHeight="1">
      <c r="A509" s="68" t="s">
        <v>708</v>
      </c>
      <c r="B509" s="68" t="s">
        <v>428</v>
      </c>
      <c r="C509" s="69"/>
      <c r="D509" s="70" t="s">
        <v>709</v>
      </c>
      <c r="E509" s="70"/>
      <c r="F509" s="70"/>
      <c r="G509" s="70"/>
      <c r="H509" s="70"/>
      <c r="I509" s="70"/>
      <c r="J509" s="70"/>
      <c r="K509" s="69"/>
      <c r="L509" s="71">
        <f>L575</f>
        <v>23877.189999999995</v>
      </c>
      <c r="M509" s="71">
        <f>ROUND(L509,2)</f>
        <v>23877.19</v>
      </c>
    </row>
    <row r="510" spans="1:13" ht="15.4" customHeight="1">
      <c r="A510" s="34" t="s">
        <v>710</v>
      </c>
      <c r="B510" s="35" t="s">
        <v>431</v>
      </c>
      <c r="C510" s="35" t="s">
        <v>3</v>
      </c>
      <c r="D510" s="36" t="s">
        <v>711</v>
      </c>
      <c r="E510" s="36"/>
      <c r="F510" s="36"/>
      <c r="G510" s="36"/>
      <c r="H510" s="36"/>
      <c r="I510" s="36"/>
      <c r="J510" s="36"/>
      <c r="K510" s="37">
        <f>ROUND(28,2)</f>
        <v>28</v>
      </c>
      <c r="L510" s="38">
        <f>L514</f>
        <v>213.74</v>
      </c>
      <c r="M510" s="38">
        <f>ROUND(K510*L510,2)</f>
        <v>5984.72</v>
      </c>
    </row>
    <row r="511" spans="1:13" ht="21.4" customHeight="1">
      <c r="A511" s="39"/>
      <c r="B511" s="39"/>
      <c r="C511" s="39"/>
      <c r="D511" s="36" t="s">
        <v>712</v>
      </c>
      <c r="E511" s="36"/>
      <c r="F511" s="36"/>
      <c r="G511" s="36"/>
      <c r="H511" s="36"/>
      <c r="I511" s="36"/>
      <c r="J511" s="36"/>
      <c r="K511" s="36"/>
      <c r="L511" s="36"/>
      <c r="M511" s="36"/>
    </row>
    <row r="512" spans="1:13" ht="15.2" customHeight="1">
      <c r="A512" s="35" t="s">
        <v>713</v>
      </c>
      <c r="B512" s="35" t="s">
        <v>451</v>
      </c>
      <c r="C512" s="35" t="s">
        <v>3</v>
      </c>
      <c r="D512" s="36" t="s">
        <v>714</v>
      </c>
      <c r="E512" s="36"/>
      <c r="F512" s="36"/>
      <c r="G512" s="36"/>
      <c r="H512" s="36"/>
      <c r="I512" s="36"/>
      <c r="J512" s="36"/>
      <c r="K512" s="37">
        <v>1</v>
      </c>
      <c r="L512" s="37">
        <f>ROUND(168.443,3)</f>
        <v>168.44300000000001</v>
      </c>
      <c r="M512" s="38">
        <f>ROUND(K512*L512,2)</f>
        <v>168.44</v>
      </c>
    </row>
    <row r="513" spans="1:13" ht="15.2" customHeight="1">
      <c r="A513" s="35" t="s">
        <v>495</v>
      </c>
      <c r="B513" s="35" t="s">
        <v>455</v>
      </c>
      <c r="C513" s="35" t="s">
        <v>456</v>
      </c>
      <c r="D513" s="36" t="s">
        <v>496</v>
      </c>
      <c r="E513" s="36"/>
      <c r="F513" s="36"/>
      <c r="G513" s="36"/>
      <c r="H513" s="36"/>
      <c r="I513" s="36"/>
      <c r="J513" s="36"/>
      <c r="K513" s="37">
        <v>2.2559999999999998</v>
      </c>
      <c r="L513" s="37">
        <f>ROUND(17.32,3)</f>
        <v>17.32</v>
      </c>
      <c r="M513" s="38">
        <f>ROUND(K513*L513,2)</f>
        <v>39.07</v>
      </c>
    </row>
    <row r="514" spans="1:13" ht="15.4" customHeight="1">
      <c r="A514" s="52"/>
      <c r="B514" s="52"/>
      <c r="C514" s="52"/>
      <c r="D514" s="53" t="s">
        <v>710</v>
      </c>
      <c r="E514" s="52"/>
      <c r="F514" s="52"/>
      <c r="G514" s="52"/>
      <c r="H514" s="52"/>
      <c r="I514" s="52"/>
      <c r="J514" s="52"/>
      <c r="K514" s="54">
        <v>28</v>
      </c>
      <c r="L514" s="55">
        <f>ROUND((M512+M513)*(1+M2/100),2)</f>
        <v>213.74</v>
      </c>
      <c r="M514" s="55">
        <f>ROUND(K514*L514,2)</f>
        <v>5984.72</v>
      </c>
    </row>
    <row r="515" spans="1:13" ht="15.4" customHeight="1">
      <c r="A515" s="56" t="s">
        <v>715</v>
      </c>
      <c r="B515" s="57" t="s">
        <v>431</v>
      </c>
      <c r="C515" s="57" t="s">
        <v>3</v>
      </c>
      <c r="D515" s="58" t="s">
        <v>716</v>
      </c>
      <c r="E515" s="58"/>
      <c r="F515" s="58"/>
      <c r="G515" s="58"/>
      <c r="H515" s="58"/>
      <c r="I515" s="58"/>
      <c r="J515" s="58"/>
      <c r="K515" s="59">
        <f>ROUND(28,2)</f>
        <v>28</v>
      </c>
      <c r="L515" s="60">
        <f>L519</f>
        <v>106.73</v>
      </c>
      <c r="M515" s="60">
        <f>ROUND(K515*L515,2)</f>
        <v>2988.44</v>
      </c>
    </row>
    <row r="516" spans="1:13" ht="21.4" customHeight="1">
      <c r="A516" s="39"/>
      <c r="B516" s="39"/>
      <c r="C516" s="39"/>
      <c r="D516" s="36" t="s">
        <v>717</v>
      </c>
      <c r="E516" s="36"/>
      <c r="F516" s="36"/>
      <c r="G516" s="36"/>
      <c r="H516" s="36"/>
      <c r="I516" s="36"/>
      <c r="J516" s="36"/>
      <c r="K516" s="36"/>
      <c r="L516" s="36"/>
      <c r="M516" s="36"/>
    </row>
    <row r="517" spans="1:13" ht="15.2" customHeight="1">
      <c r="A517" s="35" t="s">
        <v>718</v>
      </c>
      <c r="B517" s="35" t="s">
        <v>451</v>
      </c>
      <c r="C517" s="35" t="s">
        <v>3</v>
      </c>
      <c r="D517" s="36" t="s">
        <v>719</v>
      </c>
      <c r="E517" s="36"/>
      <c r="F517" s="36"/>
      <c r="G517" s="36"/>
      <c r="H517" s="36"/>
      <c r="I517" s="36"/>
      <c r="J517" s="36"/>
      <c r="K517" s="37">
        <v>1</v>
      </c>
      <c r="L517" s="37">
        <f>ROUND(84.864,3)</f>
        <v>84.864000000000004</v>
      </c>
      <c r="M517" s="38">
        <f>ROUND(K517*L517,2)</f>
        <v>84.86</v>
      </c>
    </row>
    <row r="518" spans="1:13" ht="15.2" customHeight="1">
      <c r="A518" s="35" t="s">
        <v>495</v>
      </c>
      <c r="B518" s="35" t="s">
        <v>455</v>
      </c>
      <c r="C518" s="35" t="s">
        <v>456</v>
      </c>
      <c r="D518" s="36" t="s">
        <v>496</v>
      </c>
      <c r="E518" s="36"/>
      <c r="F518" s="36"/>
      <c r="G518" s="36"/>
      <c r="H518" s="36"/>
      <c r="I518" s="36"/>
      <c r="J518" s="36"/>
      <c r="K518" s="37">
        <v>1.083</v>
      </c>
      <c r="L518" s="37">
        <f>ROUND(17.32,3)</f>
        <v>17.32</v>
      </c>
      <c r="M518" s="38">
        <f>ROUND(K518*L518,2)</f>
        <v>18.760000000000002</v>
      </c>
    </row>
    <row r="519" spans="1:13" ht="15.4" customHeight="1">
      <c r="A519" s="52"/>
      <c r="B519" s="52"/>
      <c r="C519" s="52"/>
      <c r="D519" s="53" t="s">
        <v>715</v>
      </c>
      <c r="E519" s="52"/>
      <c r="F519" s="52"/>
      <c r="G519" s="52"/>
      <c r="H519" s="52"/>
      <c r="I519" s="52"/>
      <c r="J519" s="52"/>
      <c r="K519" s="54">
        <v>28</v>
      </c>
      <c r="L519" s="55">
        <f>ROUND((M517+M518)*(1+M2/100),2)</f>
        <v>106.73</v>
      </c>
      <c r="M519" s="55">
        <f>ROUND(K519*L519,2)</f>
        <v>2988.44</v>
      </c>
    </row>
    <row r="520" spans="1:13" ht="15.4" customHeight="1">
      <c r="A520" s="56" t="s">
        <v>720</v>
      </c>
      <c r="B520" s="57" t="s">
        <v>431</v>
      </c>
      <c r="C520" s="57" t="s">
        <v>3</v>
      </c>
      <c r="D520" s="58" t="s">
        <v>721</v>
      </c>
      <c r="E520" s="58"/>
      <c r="F520" s="58"/>
      <c r="G520" s="58"/>
      <c r="H520" s="58"/>
      <c r="I520" s="58"/>
      <c r="J520" s="58"/>
      <c r="K520" s="59">
        <f>ROUND(28,2)</f>
        <v>28</v>
      </c>
      <c r="L520" s="60">
        <f>L524</f>
        <v>141.57</v>
      </c>
      <c r="M520" s="60">
        <f>ROUND(K520*L520,2)</f>
        <v>3963.96</v>
      </c>
    </row>
    <row r="521" spans="1:13" ht="12.2" customHeight="1">
      <c r="A521" s="39"/>
      <c r="B521" s="39"/>
      <c r="C521" s="39"/>
      <c r="D521" s="36" t="s">
        <v>722</v>
      </c>
      <c r="E521" s="36"/>
      <c r="F521" s="36"/>
      <c r="G521" s="36"/>
      <c r="H521" s="36"/>
      <c r="I521" s="36"/>
      <c r="J521" s="36"/>
      <c r="K521" s="36"/>
      <c r="L521" s="36"/>
      <c r="M521" s="36"/>
    </row>
    <row r="522" spans="1:13" ht="15.2" customHeight="1">
      <c r="A522" s="35" t="s">
        <v>723</v>
      </c>
      <c r="B522" s="35" t="s">
        <v>451</v>
      </c>
      <c r="C522" s="35" t="s">
        <v>724</v>
      </c>
      <c r="D522" s="36" t="s">
        <v>721</v>
      </c>
      <c r="E522" s="36"/>
      <c r="F522" s="36"/>
      <c r="G522" s="36"/>
      <c r="H522" s="36"/>
      <c r="I522" s="36"/>
      <c r="J522" s="36"/>
      <c r="K522" s="37">
        <v>1</v>
      </c>
      <c r="L522" s="37">
        <f>ROUND(121.826,3)</f>
        <v>121.82599999999999</v>
      </c>
      <c r="M522" s="38">
        <f>ROUND(K522*L522,2)</f>
        <v>121.83</v>
      </c>
    </row>
    <row r="523" spans="1:13" ht="15.2" customHeight="1">
      <c r="A523" s="35" t="s">
        <v>495</v>
      </c>
      <c r="B523" s="35" t="s">
        <v>455</v>
      </c>
      <c r="C523" s="35" t="s">
        <v>456</v>
      </c>
      <c r="D523" s="36" t="s">
        <v>496</v>
      </c>
      <c r="E523" s="36"/>
      <c r="F523" s="36"/>
      <c r="G523" s="36"/>
      <c r="H523" s="36"/>
      <c r="I523" s="36"/>
      <c r="J523" s="36"/>
      <c r="K523" s="37">
        <v>0.90200000000000002</v>
      </c>
      <c r="L523" s="37">
        <f>ROUND(17.32,3)</f>
        <v>17.32</v>
      </c>
      <c r="M523" s="38">
        <f>ROUND(K523*L523,2)</f>
        <v>15.62</v>
      </c>
    </row>
    <row r="524" spans="1:13" ht="15.4" customHeight="1">
      <c r="A524" s="52"/>
      <c r="B524" s="52"/>
      <c r="C524" s="52"/>
      <c r="D524" s="53" t="s">
        <v>720</v>
      </c>
      <c r="E524" s="52"/>
      <c r="F524" s="52"/>
      <c r="G524" s="52"/>
      <c r="H524" s="52"/>
      <c r="I524" s="52"/>
      <c r="J524" s="52"/>
      <c r="K524" s="54">
        <v>28</v>
      </c>
      <c r="L524" s="55">
        <f>ROUND((M522+M523)*(1+M2/100),2)</f>
        <v>141.57</v>
      </c>
      <c r="M524" s="55">
        <f>ROUND(K524*L524,2)</f>
        <v>3963.96</v>
      </c>
    </row>
    <row r="525" spans="1:13" ht="15.4" customHeight="1">
      <c r="A525" s="56" t="s">
        <v>725</v>
      </c>
      <c r="B525" s="57" t="s">
        <v>431</v>
      </c>
      <c r="C525" s="57" t="s">
        <v>3</v>
      </c>
      <c r="D525" s="58" t="s">
        <v>726</v>
      </c>
      <c r="E525" s="58"/>
      <c r="F525" s="58"/>
      <c r="G525" s="58"/>
      <c r="H525" s="58"/>
      <c r="I525" s="58"/>
      <c r="J525" s="58"/>
      <c r="K525" s="59">
        <f>ROUND(28,2)</f>
        <v>28</v>
      </c>
      <c r="L525" s="60">
        <f>L529</f>
        <v>6.44</v>
      </c>
      <c r="M525" s="60">
        <f>ROUND(K525*L525,2)</f>
        <v>180.32</v>
      </c>
    </row>
    <row r="526" spans="1:13" ht="21.4" customHeight="1">
      <c r="A526" s="39"/>
      <c r="B526" s="39"/>
      <c r="C526" s="39"/>
      <c r="D526" s="36" t="s">
        <v>727</v>
      </c>
      <c r="E526" s="36"/>
      <c r="F526" s="36"/>
      <c r="G526" s="36"/>
      <c r="H526" s="36"/>
      <c r="I526" s="36"/>
      <c r="J526" s="36"/>
      <c r="K526" s="36"/>
      <c r="L526" s="36"/>
      <c r="M526" s="36"/>
    </row>
    <row r="527" spans="1:13" ht="15.2" customHeight="1">
      <c r="A527" s="35" t="s">
        <v>728</v>
      </c>
      <c r="B527" s="35" t="s">
        <v>451</v>
      </c>
      <c r="C527" s="35" t="s">
        <v>3</v>
      </c>
      <c r="D527" s="36" t="s">
        <v>729</v>
      </c>
      <c r="E527" s="36"/>
      <c r="F527" s="36"/>
      <c r="G527" s="36"/>
      <c r="H527" s="36"/>
      <c r="I527" s="36"/>
      <c r="J527" s="36"/>
      <c r="K527" s="37">
        <v>1</v>
      </c>
      <c r="L527" s="37">
        <f>ROUND(3.13,3)</f>
        <v>3.13</v>
      </c>
      <c r="M527" s="38">
        <f>ROUND(K527*L527,2)</f>
        <v>3.13</v>
      </c>
    </row>
    <row r="528" spans="1:13" ht="15.2" customHeight="1">
      <c r="A528" s="35" t="s">
        <v>495</v>
      </c>
      <c r="B528" s="35" t="s">
        <v>455</v>
      </c>
      <c r="C528" s="35" t="s">
        <v>456</v>
      </c>
      <c r="D528" s="36" t="s">
        <v>496</v>
      </c>
      <c r="E528" s="36"/>
      <c r="F528" s="36"/>
      <c r="G528" s="36"/>
      <c r="H528" s="36"/>
      <c r="I528" s="36"/>
      <c r="J528" s="36"/>
      <c r="K528" s="37">
        <v>0.18</v>
      </c>
      <c r="L528" s="37">
        <f>ROUND(17.32,3)</f>
        <v>17.32</v>
      </c>
      <c r="M528" s="38">
        <f>ROUND(K528*L528,2)</f>
        <v>3.12</v>
      </c>
    </row>
    <row r="529" spans="1:13" ht="15.4" customHeight="1">
      <c r="A529" s="52"/>
      <c r="B529" s="52"/>
      <c r="C529" s="52"/>
      <c r="D529" s="53" t="s">
        <v>725</v>
      </c>
      <c r="E529" s="52"/>
      <c r="F529" s="52"/>
      <c r="G529" s="52"/>
      <c r="H529" s="52"/>
      <c r="I529" s="52"/>
      <c r="J529" s="52"/>
      <c r="K529" s="54">
        <v>28</v>
      </c>
      <c r="L529" s="55">
        <f>ROUND((M527+M528)*(1+M2/100),2)</f>
        <v>6.44</v>
      </c>
      <c r="M529" s="55">
        <f>ROUND(K529*L529,2)</f>
        <v>180.32</v>
      </c>
    </row>
    <row r="530" spans="1:13" ht="15.4" customHeight="1">
      <c r="A530" s="56" t="s">
        <v>730</v>
      </c>
      <c r="B530" s="57" t="s">
        <v>431</v>
      </c>
      <c r="C530" s="57" t="s">
        <v>3</v>
      </c>
      <c r="D530" s="58" t="s">
        <v>731</v>
      </c>
      <c r="E530" s="58"/>
      <c r="F530" s="58"/>
      <c r="G530" s="58"/>
      <c r="H530" s="58"/>
      <c r="I530" s="58"/>
      <c r="J530" s="58"/>
      <c r="K530" s="59">
        <f>ROUND(28,2)</f>
        <v>28</v>
      </c>
      <c r="L530" s="60">
        <f>L534</f>
        <v>6.16</v>
      </c>
      <c r="M530" s="60">
        <f>ROUND(K530*L530,2)</f>
        <v>172.48</v>
      </c>
    </row>
    <row r="531" spans="1:13" ht="12.2" customHeight="1">
      <c r="A531" s="39"/>
      <c r="B531" s="39"/>
      <c r="C531" s="39"/>
      <c r="D531" s="36" t="s">
        <v>732</v>
      </c>
      <c r="E531" s="36"/>
      <c r="F531" s="36"/>
      <c r="G531" s="36"/>
      <c r="H531" s="36"/>
      <c r="I531" s="36"/>
      <c r="J531" s="36"/>
      <c r="K531" s="36"/>
      <c r="L531" s="36"/>
      <c r="M531" s="36"/>
    </row>
    <row r="532" spans="1:13" ht="15.2" customHeight="1">
      <c r="A532" s="35" t="s">
        <v>733</v>
      </c>
      <c r="B532" s="35" t="s">
        <v>451</v>
      </c>
      <c r="C532" s="35" t="s">
        <v>3</v>
      </c>
      <c r="D532" s="36" t="s">
        <v>734</v>
      </c>
      <c r="E532" s="36"/>
      <c r="F532" s="36"/>
      <c r="G532" s="36"/>
      <c r="H532" s="36"/>
      <c r="I532" s="36"/>
      <c r="J532" s="36"/>
      <c r="K532" s="37">
        <v>1</v>
      </c>
      <c r="L532" s="37">
        <f>ROUND(2.864,3)</f>
        <v>2.8639999999999999</v>
      </c>
      <c r="M532" s="38">
        <f>ROUND(K532*L532,2)</f>
        <v>2.86</v>
      </c>
    </row>
    <row r="533" spans="1:13" ht="15.2" customHeight="1">
      <c r="A533" s="35" t="s">
        <v>495</v>
      </c>
      <c r="B533" s="35" t="s">
        <v>455</v>
      </c>
      <c r="C533" s="35" t="s">
        <v>456</v>
      </c>
      <c r="D533" s="36" t="s">
        <v>496</v>
      </c>
      <c r="E533" s="36"/>
      <c r="F533" s="36"/>
      <c r="G533" s="36"/>
      <c r="H533" s="36"/>
      <c r="I533" s="36"/>
      <c r="J533" s="36"/>
      <c r="K533" s="37">
        <v>0.18</v>
      </c>
      <c r="L533" s="37">
        <f>ROUND(17.32,3)</f>
        <v>17.32</v>
      </c>
      <c r="M533" s="38">
        <f>ROUND(K533*L533,2)</f>
        <v>3.12</v>
      </c>
    </row>
    <row r="534" spans="1:13" ht="15.4" customHeight="1">
      <c r="A534" s="52"/>
      <c r="B534" s="52"/>
      <c r="C534" s="52"/>
      <c r="D534" s="53" t="s">
        <v>730</v>
      </c>
      <c r="E534" s="52"/>
      <c r="F534" s="52"/>
      <c r="G534" s="52"/>
      <c r="H534" s="52"/>
      <c r="I534" s="52"/>
      <c r="J534" s="52"/>
      <c r="K534" s="54">
        <v>28</v>
      </c>
      <c r="L534" s="55">
        <f>ROUND((M532+M533)*(1+M2/100),2)</f>
        <v>6.16</v>
      </c>
      <c r="M534" s="55">
        <f>ROUND(K534*L534,2)</f>
        <v>172.48</v>
      </c>
    </row>
    <row r="535" spans="1:13" ht="15.4" customHeight="1">
      <c r="A535" s="56" t="s">
        <v>735</v>
      </c>
      <c r="B535" s="57" t="s">
        <v>431</v>
      </c>
      <c r="C535" s="57" t="s">
        <v>3</v>
      </c>
      <c r="D535" s="58" t="s">
        <v>736</v>
      </c>
      <c r="E535" s="58"/>
      <c r="F535" s="58"/>
      <c r="G535" s="58"/>
      <c r="H535" s="58"/>
      <c r="I535" s="58"/>
      <c r="J535" s="58"/>
      <c r="K535" s="59">
        <f>ROUND(28,2)</f>
        <v>28</v>
      </c>
      <c r="L535" s="60">
        <f>L539</f>
        <v>40.11</v>
      </c>
      <c r="M535" s="60">
        <f>ROUND(K535*L535,2)</f>
        <v>1123.08</v>
      </c>
    </row>
    <row r="536" spans="1:13" ht="30.6" customHeight="1">
      <c r="A536" s="39"/>
      <c r="B536" s="39"/>
      <c r="C536" s="39"/>
      <c r="D536" s="36" t="s">
        <v>737</v>
      </c>
      <c r="E536" s="36"/>
      <c r="F536" s="36"/>
      <c r="G536" s="36"/>
      <c r="H536" s="36"/>
      <c r="I536" s="36"/>
      <c r="J536" s="36"/>
      <c r="K536" s="36"/>
      <c r="L536" s="36"/>
      <c r="M536" s="36"/>
    </row>
    <row r="537" spans="1:13" ht="15.2" customHeight="1">
      <c r="A537" s="35" t="s">
        <v>738</v>
      </c>
      <c r="B537" s="35" t="s">
        <v>451</v>
      </c>
      <c r="C537" s="35" t="s">
        <v>3</v>
      </c>
      <c r="D537" s="36" t="s">
        <v>739</v>
      </c>
      <c r="E537" s="36"/>
      <c r="F537" s="36"/>
      <c r="G537" s="36"/>
      <c r="H537" s="36"/>
      <c r="I537" s="36"/>
      <c r="J537" s="36"/>
      <c r="K537" s="37">
        <v>1</v>
      </c>
      <c r="L537" s="37">
        <f>ROUND(31.745,3)</f>
        <v>31.745000000000001</v>
      </c>
      <c r="M537" s="38">
        <f>ROUND(K537*L537,2)</f>
        <v>31.75</v>
      </c>
    </row>
    <row r="538" spans="1:13" ht="15.2" customHeight="1">
      <c r="A538" s="35" t="s">
        <v>495</v>
      </c>
      <c r="B538" s="35" t="s">
        <v>455</v>
      </c>
      <c r="C538" s="35" t="s">
        <v>456</v>
      </c>
      <c r="D538" s="36" t="s">
        <v>496</v>
      </c>
      <c r="E538" s="36"/>
      <c r="F538" s="36"/>
      <c r="G538" s="36"/>
      <c r="H538" s="36"/>
      <c r="I538" s="36"/>
      <c r="J538" s="36"/>
      <c r="K538" s="37">
        <v>0.41499999999999998</v>
      </c>
      <c r="L538" s="37">
        <f>ROUND(17.32,3)</f>
        <v>17.32</v>
      </c>
      <c r="M538" s="38">
        <f>ROUND(K538*L538,2)</f>
        <v>7.19</v>
      </c>
    </row>
    <row r="539" spans="1:13" ht="15.4" customHeight="1">
      <c r="A539" s="52"/>
      <c r="B539" s="52"/>
      <c r="C539" s="52"/>
      <c r="D539" s="53" t="s">
        <v>735</v>
      </c>
      <c r="E539" s="52"/>
      <c r="F539" s="52"/>
      <c r="G539" s="52"/>
      <c r="H539" s="52"/>
      <c r="I539" s="52"/>
      <c r="J539" s="52"/>
      <c r="K539" s="54">
        <v>28</v>
      </c>
      <c r="L539" s="55">
        <f>ROUND((M537+M538)*(1+M2/100),2)</f>
        <v>40.11</v>
      </c>
      <c r="M539" s="55">
        <f>ROUND(K539*L539,2)</f>
        <v>1123.08</v>
      </c>
    </row>
    <row r="540" spans="1:13" ht="15.4" customHeight="1">
      <c r="A540" s="56" t="s">
        <v>740</v>
      </c>
      <c r="B540" s="57" t="s">
        <v>431</v>
      </c>
      <c r="C540" s="57" t="s">
        <v>3</v>
      </c>
      <c r="D540" s="58" t="s">
        <v>741</v>
      </c>
      <c r="E540" s="58"/>
      <c r="F540" s="58"/>
      <c r="G540" s="58"/>
      <c r="H540" s="58"/>
      <c r="I540" s="58"/>
      <c r="J540" s="58"/>
      <c r="K540" s="59">
        <f>ROUND(28,2)</f>
        <v>28</v>
      </c>
      <c r="L540" s="60">
        <f>L544</f>
        <v>92.55</v>
      </c>
      <c r="M540" s="60">
        <f>ROUND(K540*L540,2)</f>
        <v>2591.4</v>
      </c>
    </row>
    <row r="541" spans="1:13" ht="21.4" customHeight="1">
      <c r="A541" s="39"/>
      <c r="B541" s="39"/>
      <c r="C541" s="39"/>
      <c r="D541" s="36" t="s">
        <v>742</v>
      </c>
      <c r="E541" s="36"/>
      <c r="F541" s="36"/>
      <c r="G541" s="36"/>
      <c r="H541" s="36"/>
      <c r="I541" s="36"/>
      <c r="J541" s="36"/>
      <c r="K541" s="36"/>
      <c r="L541" s="36"/>
      <c r="M541" s="36"/>
    </row>
    <row r="542" spans="1:13" ht="15.2" customHeight="1">
      <c r="A542" s="35" t="s">
        <v>743</v>
      </c>
      <c r="B542" s="35" t="s">
        <v>451</v>
      </c>
      <c r="C542" s="35" t="s">
        <v>3</v>
      </c>
      <c r="D542" s="36" t="s">
        <v>744</v>
      </c>
      <c r="E542" s="36"/>
      <c r="F542" s="36"/>
      <c r="G542" s="36"/>
      <c r="H542" s="36"/>
      <c r="I542" s="36"/>
      <c r="J542" s="36"/>
      <c r="K542" s="37">
        <v>1</v>
      </c>
      <c r="L542" s="37">
        <f>ROUND(82.037,3)</f>
        <v>82.037000000000006</v>
      </c>
      <c r="M542" s="38">
        <f>ROUND(K542*L542,2)</f>
        <v>82.04</v>
      </c>
    </row>
    <row r="543" spans="1:13" ht="15.2" customHeight="1">
      <c r="A543" s="35" t="s">
        <v>495</v>
      </c>
      <c r="B543" s="35" t="s">
        <v>455</v>
      </c>
      <c r="C543" s="35" t="s">
        <v>456</v>
      </c>
      <c r="D543" s="36" t="s">
        <v>496</v>
      </c>
      <c r="E543" s="36"/>
      <c r="F543" s="36"/>
      <c r="G543" s="36"/>
      <c r="H543" s="36"/>
      <c r="I543" s="36"/>
      <c r="J543" s="36"/>
      <c r="K543" s="37">
        <v>0.45100000000000001</v>
      </c>
      <c r="L543" s="37">
        <f>ROUND(17.32,3)</f>
        <v>17.32</v>
      </c>
      <c r="M543" s="38">
        <f>ROUND(K543*L543,2)</f>
        <v>7.81</v>
      </c>
    </row>
    <row r="544" spans="1:13" ht="15.4" customHeight="1">
      <c r="A544" s="52"/>
      <c r="B544" s="52"/>
      <c r="C544" s="52"/>
      <c r="D544" s="53" t="s">
        <v>740</v>
      </c>
      <c r="E544" s="52"/>
      <c r="F544" s="52"/>
      <c r="G544" s="52"/>
      <c r="H544" s="52"/>
      <c r="I544" s="52"/>
      <c r="J544" s="52"/>
      <c r="K544" s="54">
        <v>28</v>
      </c>
      <c r="L544" s="55">
        <f>ROUND((M542+M543)*(1+M2/100),2)</f>
        <v>92.55</v>
      </c>
      <c r="M544" s="55">
        <f>ROUND(K544*L544,2)</f>
        <v>2591.4</v>
      </c>
    </row>
    <row r="545" spans="1:13" ht="15.4" customHeight="1">
      <c r="A545" s="56" t="s">
        <v>745</v>
      </c>
      <c r="B545" s="57" t="s">
        <v>431</v>
      </c>
      <c r="C545" s="57" t="s">
        <v>3</v>
      </c>
      <c r="D545" s="58" t="s">
        <v>746</v>
      </c>
      <c r="E545" s="58"/>
      <c r="F545" s="58"/>
      <c r="G545" s="58"/>
      <c r="H545" s="58"/>
      <c r="I545" s="58"/>
      <c r="J545" s="58"/>
      <c r="K545" s="59">
        <f>ROUND(28,2)</f>
        <v>28</v>
      </c>
      <c r="L545" s="60">
        <f>L549</f>
        <v>31.67</v>
      </c>
      <c r="M545" s="60">
        <f>ROUND(K545*L545,2)</f>
        <v>886.76</v>
      </c>
    </row>
    <row r="546" spans="1:13" ht="21.4" customHeight="1">
      <c r="A546" s="39"/>
      <c r="B546" s="39"/>
      <c r="C546" s="39"/>
      <c r="D546" s="36" t="s">
        <v>747</v>
      </c>
      <c r="E546" s="36"/>
      <c r="F546" s="36"/>
      <c r="G546" s="36"/>
      <c r="H546" s="36"/>
      <c r="I546" s="36"/>
      <c r="J546" s="36"/>
      <c r="K546" s="36"/>
      <c r="L546" s="36"/>
      <c r="M546" s="36"/>
    </row>
    <row r="547" spans="1:13" ht="15.2" customHeight="1">
      <c r="A547" s="35" t="s">
        <v>748</v>
      </c>
      <c r="B547" s="35" t="s">
        <v>451</v>
      </c>
      <c r="C547" s="35" t="s">
        <v>3</v>
      </c>
      <c r="D547" s="36" t="s">
        <v>749</v>
      </c>
      <c r="E547" s="36"/>
      <c r="F547" s="36"/>
      <c r="G547" s="36"/>
      <c r="H547" s="36"/>
      <c r="I547" s="36"/>
      <c r="J547" s="36"/>
      <c r="K547" s="37">
        <v>1</v>
      </c>
      <c r="L547" s="37">
        <f>ROUND(22.936,3)</f>
        <v>22.936</v>
      </c>
      <c r="M547" s="38">
        <f>ROUND(K547*L547,2)</f>
        <v>22.94</v>
      </c>
    </row>
    <row r="548" spans="1:13" ht="15.2" customHeight="1">
      <c r="A548" s="35" t="s">
        <v>495</v>
      </c>
      <c r="B548" s="35" t="s">
        <v>455</v>
      </c>
      <c r="C548" s="35" t="s">
        <v>456</v>
      </c>
      <c r="D548" s="36" t="s">
        <v>496</v>
      </c>
      <c r="E548" s="36"/>
      <c r="F548" s="36"/>
      <c r="G548" s="36"/>
      <c r="H548" s="36"/>
      <c r="I548" s="36"/>
      <c r="J548" s="36"/>
      <c r="K548" s="37">
        <v>0.45100000000000001</v>
      </c>
      <c r="L548" s="37">
        <f>ROUND(17.32,3)</f>
        <v>17.32</v>
      </c>
      <c r="M548" s="38">
        <f>ROUND(K548*L548,2)</f>
        <v>7.81</v>
      </c>
    </row>
    <row r="549" spans="1:13" ht="15.4" customHeight="1">
      <c r="A549" s="52"/>
      <c r="B549" s="52"/>
      <c r="C549" s="52"/>
      <c r="D549" s="53" t="s">
        <v>745</v>
      </c>
      <c r="E549" s="52"/>
      <c r="F549" s="52"/>
      <c r="G549" s="52"/>
      <c r="H549" s="52"/>
      <c r="I549" s="52"/>
      <c r="J549" s="52"/>
      <c r="K549" s="54">
        <v>28</v>
      </c>
      <c r="L549" s="55">
        <f>ROUND((M547+M548)*(1+M2/100),2)</f>
        <v>31.67</v>
      </c>
      <c r="M549" s="55">
        <f>ROUND(K549*L549,2)</f>
        <v>886.76</v>
      </c>
    </row>
    <row r="550" spans="1:13" ht="15.4" customHeight="1">
      <c r="A550" s="56" t="s">
        <v>750</v>
      </c>
      <c r="B550" s="57" t="s">
        <v>431</v>
      </c>
      <c r="C550" s="57" t="s">
        <v>3</v>
      </c>
      <c r="D550" s="58" t="s">
        <v>751</v>
      </c>
      <c r="E550" s="58"/>
      <c r="F550" s="58"/>
      <c r="G550" s="58"/>
      <c r="H550" s="58"/>
      <c r="I550" s="58"/>
      <c r="J550" s="58"/>
      <c r="K550" s="59">
        <f>ROUND(28,2)</f>
        <v>28</v>
      </c>
      <c r="L550" s="60">
        <f>L554</f>
        <v>34.93</v>
      </c>
      <c r="M550" s="60">
        <f>ROUND(K550*L550,2)</f>
        <v>978.04</v>
      </c>
    </row>
    <row r="551" spans="1:13" ht="12.2" customHeight="1">
      <c r="A551" s="39"/>
      <c r="B551" s="39"/>
      <c r="C551" s="39"/>
      <c r="D551" s="36" t="s">
        <v>752</v>
      </c>
      <c r="E551" s="36"/>
      <c r="F551" s="36"/>
      <c r="G551" s="36"/>
      <c r="H551" s="36"/>
      <c r="I551" s="36"/>
      <c r="J551" s="36"/>
      <c r="K551" s="36"/>
      <c r="L551" s="36"/>
      <c r="M551" s="36"/>
    </row>
    <row r="552" spans="1:13" ht="15.2" customHeight="1">
      <c r="A552" s="35" t="s">
        <v>753</v>
      </c>
      <c r="B552" s="35" t="s">
        <v>451</v>
      </c>
      <c r="C552" s="35" t="s">
        <v>3</v>
      </c>
      <c r="D552" s="36" t="s">
        <v>754</v>
      </c>
      <c r="E552" s="36"/>
      <c r="F552" s="36"/>
      <c r="G552" s="36"/>
      <c r="H552" s="36"/>
      <c r="I552" s="36"/>
      <c r="J552" s="36"/>
      <c r="K552" s="37">
        <v>1</v>
      </c>
      <c r="L552" s="37">
        <f>ROUND(18.291,3)</f>
        <v>18.291</v>
      </c>
      <c r="M552" s="38">
        <f>ROUND(K552*L552,2)</f>
        <v>18.29</v>
      </c>
    </row>
    <row r="553" spans="1:13" ht="15.2" customHeight="1">
      <c r="A553" s="35" t="s">
        <v>495</v>
      </c>
      <c r="B553" s="35" t="s">
        <v>455</v>
      </c>
      <c r="C553" s="35" t="s">
        <v>456</v>
      </c>
      <c r="D553" s="36" t="s">
        <v>496</v>
      </c>
      <c r="E553" s="36"/>
      <c r="F553" s="36"/>
      <c r="G553" s="36"/>
      <c r="H553" s="36"/>
      <c r="I553" s="36"/>
      <c r="J553" s="36"/>
      <c r="K553" s="37">
        <v>0.90200000000000002</v>
      </c>
      <c r="L553" s="37">
        <f>ROUND(17.32,3)</f>
        <v>17.32</v>
      </c>
      <c r="M553" s="38">
        <f>ROUND(K553*L553,2)</f>
        <v>15.62</v>
      </c>
    </row>
    <row r="554" spans="1:13" ht="15.4" customHeight="1">
      <c r="A554" s="52"/>
      <c r="B554" s="52"/>
      <c r="C554" s="52"/>
      <c r="D554" s="53" t="s">
        <v>750</v>
      </c>
      <c r="E554" s="52"/>
      <c r="F554" s="52"/>
      <c r="G554" s="52"/>
      <c r="H554" s="52"/>
      <c r="I554" s="52"/>
      <c r="J554" s="52"/>
      <c r="K554" s="54">
        <v>28</v>
      </c>
      <c r="L554" s="55">
        <f>ROUND((M552+M553)*(1+M2/100),2)</f>
        <v>34.93</v>
      </c>
      <c r="M554" s="55">
        <f>ROUND(K554*L554,2)</f>
        <v>978.04</v>
      </c>
    </row>
    <row r="555" spans="1:13" ht="15.4" customHeight="1">
      <c r="A555" s="56" t="s">
        <v>755</v>
      </c>
      <c r="B555" s="57" t="s">
        <v>431</v>
      </c>
      <c r="C555" s="57" t="s">
        <v>3</v>
      </c>
      <c r="D555" s="58" t="s">
        <v>756</v>
      </c>
      <c r="E555" s="58"/>
      <c r="F555" s="58"/>
      <c r="G555" s="58"/>
      <c r="H555" s="58"/>
      <c r="I555" s="58"/>
      <c r="J555" s="58"/>
      <c r="K555" s="59">
        <f>ROUND(28,2)</f>
        <v>28</v>
      </c>
      <c r="L555" s="60">
        <f>ROUND(38.573*(1+M2/100),2)</f>
        <v>39.729999999999997</v>
      </c>
      <c r="M555" s="60">
        <f>ROUND(K555*L555,2)</f>
        <v>1112.44</v>
      </c>
    </row>
    <row r="556" spans="1:13" ht="21.4" customHeight="1">
      <c r="A556" s="39"/>
      <c r="B556" s="39"/>
      <c r="C556" s="39"/>
      <c r="D556" s="36" t="s">
        <v>757</v>
      </c>
      <c r="E556" s="36"/>
      <c r="F556" s="36"/>
      <c r="G556" s="36"/>
      <c r="H556" s="36"/>
      <c r="I556" s="36"/>
      <c r="J556" s="36"/>
      <c r="K556" s="36"/>
      <c r="L556" s="36"/>
      <c r="M556" s="36"/>
    </row>
    <row r="557" spans="1:13" ht="30.6" customHeight="1">
      <c r="A557" s="34" t="s">
        <v>758</v>
      </c>
      <c r="B557" s="35" t="s">
        <v>431</v>
      </c>
      <c r="C557" s="35" t="s">
        <v>56</v>
      </c>
      <c r="D557" s="36" t="s">
        <v>759</v>
      </c>
      <c r="E557" s="36"/>
      <c r="F557" s="36"/>
      <c r="G557" s="36"/>
      <c r="H557" s="36"/>
      <c r="I557" s="36"/>
      <c r="J557" s="36"/>
      <c r="K557" s="37">
        <f>SUM(K560:K560)</f>
        <v>695</v>
      </c>
      <c r="L557" s="38">
        <f>L565</f>
        <v>1.49</v>
      </c>
      <c r="M557" s="38">
        <f>ROUND(K557*L557,2)</f>
        <v>1035.55</v>
      </c>
    </row>
    <row r="558" spans="1:13" ht="49.15" customHeight="1">
      <c r="A558" s="39"/>
      <c r="B558" s="39"/>
      <c r="C558" s="39"/>
      <c r="D558" s="36" t="s">
        <v>760</v>
      </c>
      <c r="E558" s="36"/>
      <c r="F558" s="36"/>
      <c r="G558" s="36"/>
      <c r="H558" s="36"/>
      <c r="I558" s="36"/>
      <c r="J558" s="36"/>
      <c r="K558" s="36"/>
      <c r="L558" s="36"/>
      <c r="M558" s="36"/>
    </row>
    <row r="559" spans="1:13" ht="15.2" customHeight="1">
      <c r="A559" s="39"/>
      <c r="B559" s="39"/>
      <c r="C559" s="39"/>
      <c r="D559" s="39"/>
      <c r="E559" s="40"/>
      <c r="F559" s="41" t="s">
        <v>434</v>
      </c>
      <c r="G559" s="41" t="s">
        <v>435</v>
      </c>
      <c r="H559" s="41" t="s">
        <v>436</v>
      </c>
      <c r="I559" s="41" t="s">
        <v>437</v>
      </c>
      <c r="J559" s="41" t="s">
        <v>438</v>
      </c>
      <c r="K559" s="41" t="s">
        <v>439</v>
      </c>
      <c r="L559" s="39"/>
      <c r="M559" s="39"/>
    </row>
    <row r="560" spans="1:13" ht="15.2" customHeight="1">
      <c r="A560" s="39"/>
      <c r="B560" s="39"/>
      <c r="C560" s="39"/>
      <c r="D560" s="42"/>
      <c r="E560" s="43" t="s">
        <v>761</v>
      </c>
      <c r="F560" s="44">
        <v>695</v>
      </c>
      <c r="G560" s="45"/>
      <c r="H560" s="45"/>
      <c r="I560" s="45"/>
      <c r="J560" s="46">
        <f>ROUND(F560,3)</f>
        <v>695</v>
      </c>
      <c r="K560" s="47">
        <f>SUM(J560:J560)</f>
        <v>695</v>
      </c>
      <c r="L560" s="39"/>
      <c r="M560" s="39"/>
    </row>
    <row r="561" spans="1:13" ht="30.6" customHeight="1">
      <c r="A561" s="35" t="s">
        <v>762</v>
      </c>
      <c r="B561" s="35" t="s">
        <v>451</v>
      </c>
      <c r="C561" s="35" t="s">
        <v>56</v>
      </c>
      <c r="D561" s="36" t="s">
        <v>763</v>
      </c>
      <c r="E561" s="36"/>
      <c r="F561" s="36"/>
      <c r="G561" s="36"/>
      <c r="H561" s="36"/>
      <c r="I561" s="36"/>
      <c r="J561" s="36"/>
      <c r="K561" s="37">
        <v>1</v>
      </c>
      <c r="L561" s="37">
        <f>ROUND(0.77,3)</f>
        <v>0.77</v>
      </c>
      <c r="M561" s="38">
        <f>ROUND(K561*L561,2)</f>
        <v>0.77</v>
      </c>
    </row>
    <row r="562" spans="1:13" ht="15.2" customHeight="1">
      <c r="A562" s="35" t="s">
        <v>764</v>
      </c>
      <c r="B562" s="35" t="s">
        <v>455</v>
      </c>
      <c r="C562" s="35" t="s">
        <v>456</v>
      </c>
      <c r="D562" s="36" t="s">
        <v>765</v>
      </c>
      <c r="E562" s="36"/>
      <c r="F562" s="36"/>
      <c r="G562" s="36"/>
      <c r="H562" s="36"/>
      <c r="I562" s="36"/>
      <c r="J562" s="36"/>
      <c r="K562" s="37">
        <v>1.7000000000000001E-2</v>
      </c>
      <c r="L562" s="37">
        <f>ROUND(20.76,3)</f>
        <v>20.76</v>
      </c>
      <c r="M562" s="38">
        <f>ROUND(K562*L562,2)</f>
        <v>0.35</v>
      </c>
    </row>
    <row r="563" spans="1:13" ht="15.2" customHeight="1">
      <c r="A563" s="35" t="s">
        <v>766</v>
      </c>
      <c r="B563" s="35" t="s">
        <v>455</v>
      </c>
      <c r="C563" s="35" t="s">
        <v>456</v>
      </c>
      <c r="D563" s="36" t="s">
        <v>767</v>
      </c>
      <c r="E563" s="36"/>
      <c r="F563" s="36"/>
      <c r="G563" s="36"/>
      <c r="H563" s="36"/>
      <c r="I563" s="36"/>
      <c r="J563" s="36"/>
      <c r="K563" s="37">
        <v>1.7000000000000001E-2</v>
      </c>
      <c r="L563" s="37">
        <f>ROUND(17.71,3)</f>
        <v>17.71</v>
      </c>
      <c r="M563" s="38">
        <f>ROUND(K563*L563,2)</f>
        <v>0.3</v>
      </c>
    </row>
    <row r="564" spans="1:13" ht="15.2" customHeight="1">
      <c r="A564" s="35" t="s">
        <v>460</v>
      </c>
      <c r="B564" s="35"/>
      <c r="C564" s="35" t="s">
        <v>460</v>
      </c>
      <c r="D564" s="36" t="s">
        <v>461</v>
      </c>
      <c r="E564" s="36"/>
      <c r="F564" s="36"/>
      <c r="G564" s="36"/>
      <c r="H564" s="36"/>
      <c r="I564" s="36"/>
      <c r="J564" s="36"/>
      <c r="K564" s="37">
        <v>2</v>
      </c>
      <c r="L564" s="37">
        <f>ROUND(1.42,3)</f>
        <v>1.42</v>
      </c>
      <c r="M564" s="38">
        <f>ROUND((K564*L564)/100,2)</f>
        <v>0.03</v>
      </c>
    </row>
    <row r="565" spans="1:13" ht="15.4" customHeight="1">
      <c r="A565" s="52"/>
      <c r="B565" s="52"/>
      <c r="C565" s="52"/>
      <c r="D565" s="53" t="s">
        <v>758</v>
      </c>
      <c r="E565" s="52"/>
      <c r="F565" s="52"/>
      <c r="G565" s="52"/>
      <c r="H565" s="52"/>
      <c r="I565" s="52"/>
      <c r="J565" s="52"/>
      <c r="K565" s="54">
        <v>695</v>
      </c>
      <c r="L565" s="55">
        <f>ROUND((M561+M562+M563+M564)*(1+M2/100),2)</f>
        <v>1.49</v>
      </c>
      <c r="M565" s="55">
        <f>ROUND(K565*L565,2)</f>
        <v>1035.55</v>
      </c>
    </row>
    <row r="566" spans="1:13" ht="30.6" customHeight="1">
      <c r="A566" s="56" t="s">
        <v>768</v>
      </c>
      <c r="B566" s="57" t="s">
        <v>431</v>
      </c>
      <c r="C566" s="57" t="s">
        <v>56</v>
      </c>
      <c r="D566" s="58" t="s">
        <v>769</v>
      </c>
      <c r="E566" s="58"/>
      <c r="F566" s="58"/>
      <c r="G566" s="58"/>
      <c r="H566" s="58"/>
      <c r="I566" s="58"/>
      <c r="J566" s="58"/>
      <c r="K566" s="59">
        <f>SUM(K569:K569)</f>
        <v>715</v>
      </c>
      <c r="L566" s="60">
        <f>L574</f>
        <v>4</v>
      </c>
      <c r="M566" s="60">
        <f>ROUND(K566*L566,2)</f>
        <v>2860</v>
      </c>
    </row>
    <row r="567" spans="1:13" ht="58.35" customHeight="1">
      <c r="A567" s="39"/>
      <c r="B567" s="39"/>
      <c r="C567" s="39"/>
      <c r="D567" s="36" t="s">
        <v>770</v>
      </c>
      <c r="E567" s="36"/>
      <c r="F567" s="36"/>
      <c r="G567" s="36"/>
      <c r="H567" s="36"/>
      <c r="I567" s="36"/>
      <c r="J567" s="36"/>
      <c r="K567" s="36"/>
      <c r="L567" s="36"/>
      <c r="M567" s="36"/>
    </row>
    <row r="568" spans="1:13" ht="15.2" customHeight="1">
      <c r="A568" s="39"/>
      <c r="B568" s="39"/>
      <c r="C568" s="39"/>
      <c r="D568" s="39"/>
      <c r="E568" s="40"/>
      <c r="F568" s="41" t="s">
        <v>434</v>
      </c>
      <c r="G568" s="41" t="s">
        <v>435</v>
      </c>
      <c r="H568" s="41" t="s">
        <v>436</v>
      </c>
      <c r="I568" s="41" t="s">
        <v>437</v>
      </c>
      <c r="J568" s="41" t="s">
        <v>438</v>
      </c>
      <c r="K568" s="41" t="s">
        <v>439</v>
      </c>
      <c r="L568" s="39"/>
      <c r="M568" s="39"/>
    </row>
    <row r="569" spans="1:13" ht="21.4" customHeight="1">
      <c r="A569" s="39"/>
      <c r="B569" s="39"/>
      <c r="C569" s="39"/>
      <c r="D569" s="42"/>
      <c r="E569" s="43" t="s">
        <v>771</v>
      </c>
      <c r="F569" s="44">
        <v>715</v>
      </c>
      <c r="G569" s="45"/>
      <c r="H569" s="45"/>
      <c r="I569" s="45"/>
      <c r="J569" s="46">
        <f>ROUND(F569,3)</f>
        <v>715</v>
      </c>
      <c r="K569" s="47">
        <f>SUM(J569:J569)</f>
        <v>715</v>
      </c>
      <c r="L569" s="39"/>
      <c r="M569" s="39"/>
    </row>
    <row r="570" spans="1:13" ht="39.75" customHeight="1">
      <c r="A570" s="35" t="s">
        <v>772</v>
      </c>
      <c r="B570" s="35" t="s">
        <v>451</v>
      </c>
      <c r="C570" s="35" t="s">
        <v>56</v>
      </c>
      <c r="D570" s="36" t="s">
        <v>773</v>
      </c>
      <c r="E570" s="36"/>
      <c r="F570" s="36"/>
      <c r="G570" s="36"/>
      <c r="H570" s="36"/>
      <c r="I570" s="36"/>
      <c r="J570" s="36"/>
      <c r="K570" s="37">
        <v>1</v>
      </c>
      <c r="L570" s="37">
        <f>ROUND(3.16,3)</f>
        <v>3.16</v>
      </c>
      <c r="M570" s="38">
        <f>ROUND(K570*L570,2)</f>
        <v>3.16</v>
      </c>
    </row>
    <row r="571" spans="1:13" ht="15.2" customHeight="1">
      <c r="A571" s="35" t="s">
        <v>493</v>
      </c>
      <c r="B571" s="35" t="s">
        <v>455</v>
      </c>
      <c r="C571" s="35" t="s">
        <v>456</v>
      </c>
      <c r="D571" s="36" t="s">
        <v>494</v>
      </c>
      <c r="E571" s="36"/>
      <c r="F571" s="36"/>
      <c r="G571" s="36"/>
      <c r="H571" s="36"/>
      <c r="I571" s="36"/>
      <c r="J571" s="36"/>
      <c r="K571" s="37">
        <v>1.7000000000000001E-2</v>
      </c>
      <c r="L571" s="37">
        <f>ROUND(20.33,3)</f>
        <v>20.329999999999998</v>
      </c>
      <c r="M571" s="38">
        <f>ROUND(K571*L571,2)</f>
        <v>0.35</v>
      </c>
    </row>
    <row r="572" spans="1:13" ht="15.2" customHeight="1">
      <c r="A572" s="35" t="s">
        <v>495</v>
      </c>
      <c r="B572" s="35" t="s">
        <v>455</v>
      </c>
      <c r="C572" s="35" t="s">
        <v>456</v>
      </c>
      <c r="D572" s="36" t="s">
        <v>496</v>
      </c>
      <c r="E572" s="36"/>
      <c r="F572" s="36"/>
      <c r="G572" s="36"/>
      <c r="H572" s="36"/>
      <c r="I572" s="36"/>
      <c r="J572" s="36"/>
      <c r="K572" s="37">
        <v>1.7000000000000001E-2</v>
      </c>
      <c r="L572" s="37">
        <f>ROUND(17.32,3)</f>
        <v>17.32</v>
      </c>
      <c r="M572" s="38">
        <f>ROUND(K572*L572,2)</f>
        <v>0.28999999999999998</v>
      </c>
    </row>
    <row r="573" spans="1:13" ht="15.2" customHeight="1">
      <c r="A573" s="35" t="s">
        <v>460</v>
      </c>
      <c r="B573" s="35"/>
      <c r="C573" s="35" t="s">
        <v>460</v>
      </c>
      <c r="D573" s="36" t="s">
        <v>461</v>
      </c>
      <c r="E573" s="36"/>
      <c r="F573" s="36"/>
      <c r="G573" s="36"/>
      <c r="H573" s="36"/>
      <c r="I573" s="36"/>
      <c r="J573" s="36"/>
      <c r="K573" s="37">
        <v>2</v>
      </c>
      <c r="L573" s="37">
        <f>ROUND(3.8,3)</f>
        <v>3.8</v>
      </c>
      <c r="M573" s="38">
        <f>ROUND((K573*L573)/100,2)</f>
        <v>0.08</v>
      </c>
    </row>
    <row r="574" spans="1:13" ht="15.4" customHeight="1">
      <c r="A574" s="52"/>
      <c r="B574" s="52"/>
      <c r="C574" s="52"/>
      <c r="D574" s="53" t="s">
        <v>768</v>
      </c>
      <c r="E574" s="52"/>
      <c r="F574" s="52"/>
      <c r="G574" s="52"/>
      <c r="H574" s="52"/>
      <c r="I574" s="52"/>
      <c r="J574" s="52"/>
      <c r="K574" s="54">
        <v>715</v>
      </c>
      <c r="L574" s="55">
        <f>ROUND((M570+M571+M572+M573)*(1+M2/100),2)</f>
        <v>4</v>
      </c>
      <c r="M574" s="55">
        <f>ROUND(K574*L574,2)</f>
        <v>2860</v>
      </c>
    </row>
    <row r="575" spans="1:13" ht="15.4" customHeight="1">
      <c r="A575" s="79"/>
      <c r="B575" s="79"/>
      <c r="C575" s="79"/>
      <c r="D575" s="80" t="s">
        <v>708</v>
      </c>
      <c r="E575" s="81"/>
      <c r="F575" s="81"/>
      <c r="G575" s="81"/>
      <c r="H575" s="81"/>
      <c r="I575" s="81"/>
      <c r="J575" s="81"/>
      <c r="K575" s="81"/>
      <c r="L575" s="82">
        <f>M510+M515+M520+M525+M530+M535+M540+M545+M550+M555+M557+M566</f>
        <v>23877.189999999995</v>
      </c>
      <c r="M575" s="82">
        <f>ROUND(L575,2)</f>
        <v>23877.19</v>
      </c>
    </row>
    <row r="576" spans="1:13" ht="15.4" customHeight="1">
      <c r="A576" s="56" t="s">
        <v>774</v>
      </c>
      <c r="B576" s="57" t="s">
        <v>431</v>
      </c>
      <c r="C576" s="57" t="s">
        <v>3</v>
      </c>
      <c r="D576" s="58" t="s">
        <v>775</v>
      </c>
      <c r="E576" s="58"/>
      <c r="F576" s="58"/>
      <c r="G576" s="58"/>
      <c r="H576" s="58"/>
      <c r="I576" s="58"/>
      <c r="J576" s="58"/>
      <c r="K576" s="59">
        <f>ROUND(1,2)</f>
        <v>1</v>
      </c>
      <c r="L576" s="60">
        <f>L580</f>
        <v>1044.3399999999999</v>
      </c>
      <c r="M576" s="60">
        <f>ROUND(K576*L576,2)</f>
        <v>1044.3399999999999</v>
      </c>
    </row>
    <row r="577" spans="1:13" ht="21.4" customHeight="1">
      <c r="A577" s="39"/>
      <c r="B577" s="39"/>
      <c r="C577" s="39"/>
      <c r="D577" s="36" t="s">
        <v>776</v>
      </c>
      <c r="E577" s="36"/>
      <c r="F577" s="36"/>
      <c r="G577" s="36"/>
      <c r="H577" s="36"/>
      <c r="I577" s="36"/>
      <c r="J577" s="36"/>
      <c r="K577" s="36"/>
      <c r="L577" s="36"/>
      <c r="M577" s="36"/>
    </row>
    <row r="578" spans="1:13" ht="15.2" customHeight="1">
      <c r="A578" s="35" t="s">
        <v>777</v>
      </c>
      <c r="B578" s="35" t="s">
        <v>451</v>
      </c>
      <c r="C578" s="35" t="s">
        <v>3</v>
      </c>
      <c r="D578" s="36" t="s">
        <v>775</v>
      </c>
      <c r="E578" s="36"/>
      <c r="F578" s="36"/>
      <c r="G578" s="36"/>
      <c r="H578" s="36"/>
      <c r="I578" s="36"/>
      <c r="J578" s="36"/>
      <c r="K578" s="37">
        <v>1</v>
      </c>
      <c r="L578" s="37">
        <f>ROUND(910,3)</f>
        <v>910</v>
      </c>
      <c r="M578" s="38">
        <f>ROUND(K578*L578,2)</f>
        <v>910</v>
      </c>
    </row>
    <row r="579" spans="1:13" ht="15.2" customHeight="1">
      <c r="A579" s="35" t="s">
        <v>495</v>
      </c>
      <c r="B579" s="35" t="s">
        <v>455</v>
      </c>
      <c r="C579" s="35" t="s">
        <v>456</v>
      </c>
      <c r="D579" s="36" t="s">
        <v>496</v>
      </c>
      <c r="E579" s="36"/>
      <c r="F579" s="36"/>
      <c r="G579" s="36"/>
      <c r="H579" s="36"/>
      <c r="I579" s="36"/>
      <c r="J579" s="36"/>
      <c r="K579" s="37">
        <v>6</v>
      </c>
      <c r="L579" s="37">
        <f>ROUND(17.32,3)</f>
        <v>17.32</v>
      </c>
      <c r="M579" s="38">
        <f>ROUND(K579*L579,2)</f>
        <v>103.92</v>
      </c>
    </row>
    <row r="580" spans="1:13" ht="15.4" customHeight="1">
      <c r="A580" s="52"/>
      <c r="B580" s="52"/>
      <c r="C580" s="52"/>
      <c r="D580" s="53" t="s">
        <v>774</v>
      </c>
      <c r="E580" s="52"/>
      <c r="F580" s="52"/>
      <c r="G580" s="52"/>
      <c r="H580" s="52"/>
      <c r="I580" s="52"/>
      <c r="J580" s="52"/>
      <c r="K580" s="54">
        <v>1</v>
      </c>
      <c r="L580" s="55">
        <f>ROUND((M578+M579)*(1+M2/100),2)</f>
        <v>1044.3399999999999</v>
      </c>
      <c r="M580" s="55">
        <f>ROUND(K580*L580,2)</f>
        <v>1044.3399999999999</v>
      </c>
    </row>
    <row r="581" spans="1:13" ht="15.4" customHeight="1">
      <c r="A581" s="56" t="s">
        <v>778</v>
      </c>
      <c r="B581" s="57" t="s">
        <v>431</v>
      </c>
      <c r="C581" s="57" t="s">
        <v>3</v>
      </c>
      <c r="D581" s="58" t="s">
        <v>779</v>
      </c>
      <c r="E581" s="58"/>
      <c r="F581" s="58"/>
      <c r="G581" s="58"/>
      <c r="H581" s="58"/>
      <c r="I581" s="58"/>
      <c r="J581" s="58"/>
      <c r="K581" s="59">
        <f>ROUND(1,2)</f>
        <v>1</v>
      </c>
      <c r="L581" s="60">
        <f>L585</f>
        <v>1111.26</v>
      </c>
      <c r="M581" s="60">
        <f>ROUND(K581*L581,2)</f>
        <v>1111.26</v>
      </c>
    </row>
    <row r="582" spans="1:13" ht="30.6" customHeight="1">
      <c r="A582" s="39"/>
      <c r="B582" s="39"/>
      <c r="C582" s="39"/>
      <c r="D582" s="36" t="s">
        <v>780</v>
      </c>
      <c r="E582" s="36"/>
      <c r="F582" s="36"/>
      <c r="G582" s="36"/>
      <c r="H582" s="36"/>
      <c r="I582" s="36"/>
      <c r="J582" s="36"/>
      <c r="K582" s="36"/>
      <c r="L582" s="36"/>
      <c r="M582" s="36"/>
    </row>
    <row r="583" spans="1:13" ht="15.2" customHeight="1">
      <c r="A583" s="35" t="s">
        <v>781</v>
      </c>
      <c r="B583" s="35" t="s">
        <v>451</v>
      </c>
      <c r="C583" s="35" t="s">
        <v>724</v>
      </c>
      <c r="D583" s="36" t="s">
        <v>782</v>
      </c>
      <c r="E583" s="36"/>
      <c r="F583" s="36"/>
      <c r="G583" s="36"/>
      <c r="H583" s="36"/>
      <c r="I583" s="36"/>
      <c r="J583" s="36"/>
      <c r="K583" s="37">
        <v>1</v>
      </c>
      <c r="L583" s="37">
        <f>ROUND(1073.69,3)</f>
        <v>1073.69</v>
      </c>
      <c r="M583" s="38">
        <f>ROUND(K583*L583,2)</f>
        <v>1073.69</v>
      </c>
    </row>
    <row r="584" spans="1:13" ht="15.2" customHeight="1">
      <c r="A584" s="35" t="s">
        <v>495</v>
      </c>
      <c r="B584" s="35" t="s">
        <v>455</v>
      </c>
      <c r="C584" s="35" t="s">
        <v>456</v>
      </c>
      <c r="D584" s="36" t="s">
        <v>496</v>
      </c>
      <c r="E584" s="36"/>
      <c r="F584" s="36"/>
      <c r="G584" s="36"/>
      <c r="H584" s="36"/>
      <c r="I584" s="36"/>
      <c r="J584" s="36"/>
      <c r="K584" s="37">
        <v>0.3</v>
      </c>
      <c r="L584" s="37">
        <f>ROUND(17.32,3)</f>
        <v>17.32</v>
      </c>
      <c r="M584" s="38">
        <f>ROUND(K584*L584,2)</f>
        <v>5.2</v>
      </c>
    </row>
    <row r="585" spans="1:13" ht="15.4" customHeight="1">
      <c r="A585" s="52"/>
      <c r="B585" s="52"/>
      <c r="C585" s="52"/>
      <c r="D585" s="53" t="s">
        <v>778</v>
      </c>
      <c r="E585" s="52"/>
      <c r="F585" s="52"/>
      <c r="G585" s="52"/>
      <c r="H585" s="52"/>
      <c r="I585" s="52"/>
      <c r="J585" s="52"/>
      <c r="K585" s="54">
        <v>1</v>
      </c>
      <c r="L585" s="55">
        <f>ROUND((M583+M584)*(1+M2/100),2)</f>
        <v>1111.26</v>
      </c>
      <c r="M585" s="55">
        <f>ROUND(K585*L585,2)</f>
        <v>1111.26</v>
      </c>
    </row>
    <row r="586" spans="1:13" ht="30.6" customHeight="1">
      <c r="A586" s="56" t="s">
        <v>783</v>
      </c>
      <c r="B586" s="57" t="s">
        <v>431</v>
      </c>
      <c r="C586" s="57" t="s">
        <v>56</v>
      </c>
      <c r="D586" s="58" t="s">
        <v>759</v>
      </c>
      <c r="E586" s="58"/>
      <c r="F586" s="58"/>
      <c r="G586" s="58"/>
      <c r="H586" s="58"/>
      <c r="I586" s="58"/>
      <c r="J586" s="58"/>
      <c r="K586" s="59">
        <f>SUM(K589:K589)</f>
        <v>650</v>
      </c>
      <c r="L586" s="60">
        <f>L594</f>
        <v>1.49</v>
      </c>
      <c r="M586" s="60">
        <f>ROUND(K586*L586,2)</f>
        <v>968.5</v>
      </c>
    </row>
    <row r="587" spans="1:13" ht="49.15" customHeight="1">
      <c r="A587" s="39"/>
      <c r="B587" s="39"/>
      <c r="C587" s="39"/>
      <c r="D587" s="36" t="s">
        <v>760</v>
      </c>
      <c r="E587" s="36"/>
      <c r="F587" s="36"/>
      <c r="G587" s="36"/>
      <c r="H587" s="36"/>
      <c r="I587" s="36"/>
      <c r="J587" s="36"/>
      <c r="K587" s="36"/>
      <c r="L587" s="36"/>
      <c r="M587" s="36"/>
    </row>
    <row r="588" spans="1:13" ht="15.2" customHeight="1">
      <c r="A588" s="39"/>
      <c r="B588" s="39"/>
      <c r="C588" s="39"/>
      <c r="D588" s="39"/>
      <c r="E588" s="40"/>
      <c r="F588" s="41" t="s">
        <v>434</v>
      </c>
      <c r="G588" s="41" t="s">
        <v>435</v>
      </c>
      <c r="H588" s="41" t="s">
        <v>436</v>
      </c>
      <c r="I588" s="41" t="s">
        <v>437</v>
      </c>
      <c r="J588" s="41" t="s">
        <v>438</v>
      </c>
      <c r="K588" s="41" t="s">
        <v>439</v>
      </c>
      <c r="L588" s="39"/>
      <c r="M588" s="39"/>
    </row>
    <row r="589" spans="1:13" ht="15.2" customHeight="1">
      <c r="A589" s="39"/>
      <c r="B589" s="39"/>
      <c r="C589" s="39"/>
      <c r="D589" s="42"/>
      <c r="E589" s="43" t="s">
        <v>761</v>
      </c>
      <c r="F589" s="44">
        <v>650</v>
      </c>
      <c r="G589" s="45"/>
      <c r="H589" s="45"/>
      <c r="I589" s="45"/>
      <c r="J589" s="46">
        <f>ROUND(F589,3)</f>
        <v>650</v>
      </c>
      <c r="K589" s="47">
        <f>SUM(J589:J589)</f>
        <v>650</v>
      </c>
      <c r="L589" s="39"/>
      <c r="M589" s="39"/>
    </row>
    <row r="590" spans="1:13" ht="30.6" customHeight="1">
      <c r="A590" s="35" t="s">
        <v>762</v>
      </c>
      <c r="B590" s="35" t="s">
        <v>451</v>
      </c>
      <c r="C590" s="35" t="s">
        <v>56</v>
      </c>
      <c r="D590" s="36" t="s">
        <v>763</v>
      </c>
      <c r="E590" s="36"/>
      <c r="F590" s="36"/>
      <c r="G590" s="36"/>
      <c r="H590" s="36"/>
      <c r="I590" s="36"/>
      <c r="J590" s="36"/>
      <c r="K590" s="37">
        <v>1</v>
      </c>
      <c r="L590" s="37">
        <f>ROUND(0.77,3)</f>
        <v>0.77</v>
      </c>
      <c r="M590" s="38">
        <f>ROUND(K590*L590,2)</f>
        <v>0.77</v>
      </c>
    </row>
    <row r="591" spans="1:13" ht="15.2" customHeight="1">
      <c r="A591" s="35" t="s">
        <v>764</v>
      </c>
      <c r="B591" s="35" t="s">
        <v>455</v>
      </c>
      <c r="C591" s="35" t="s">
        <v>456</v>
      </c>
      <c r="D591" s="36" t="s">
        <v>765</v>
      </c>
      <c r="E591" s="36"/>
      <c r="F591" s="36"/>
      <c r="G591" s="36"/>
      <c r="H591" s="36"/>
      <c r="I591" s="36"/>
      <c r="J591" s="36"/>
      <c r="K591" s="37">
        <v>1.7000000000000001E-2</v>
      </c>
      <c r="L591" s="37">
        <f>ROUND(20.76,3)</f>
        <v>20.76</v>
      </c>
      <c r="M591" s="38">
        <f>ROUND(K591*L591,2)</f>
        <v>0.35</v>
      </c>
    </row>
    <row r="592" spans="1:13" ht="15.2" customHeight="1">
      <c r="A592" s="35" t="s">
        <v>766</v>
      </c>
      <c r="B592" s="35" t="s">
        <v>455</v>
      </c>
      <c r="C592" s="35" t="s">
        <v>456</v>
      </c>
      <c r="D592" s="36" t="s">
        <v>767</v>
      </c>
      <c r="E592" s="36"/>
      <c r="F592" s="36"/>
      <c r="G592" s="36"/>
      <c r="H592" s="36"/>
      <c r="I592" s="36"/>
      <c r="J592" s="36"/>
      <c r="K592" s="37">
        <v>1.7000000000000001E-2</v>
      </c>
      <c r="L592" s="37">
        <f>ROUND(17.71,3)</f>
        <v>17.71</v>
      </c>
      <c r="M592" s="38">
        <f>ROUND(K592*L592,2)</f>
        <v>0.3</v>
      </c>
    </row>
    <row r="593" spans="1:13" ht="15.2" customHeight="1">
      <c r="A593" s="35" t="s">
        <v>460</v>
      </c>
      <c r="B593" s="35"/>
      <c r="C593" s="35" t="s">
        <v>460</v>
      </c>
      <c r="D593" s="36" t="s">
        <v>461</v>
      </c>
      <c r="E593" s="36"/>
      <c r="F593" s="36"/>
      <c r="G593" s="36"/>
      <c r="H593" s="36"/>
      <c r="I593" s="36"/>
      <c r="J593" s="36"/>
      <c r="K593" s="37">
        <v>2</v>
      </c>
      <c r="L593" s="37">
        <f>ROUND(1.42,3)</f>
        <v>1.42</v>
      </c>
      <c r="M593" s="38">
        <f>ROUND((K593*L593)/100,2)</f>
        <v>0.03</v>
      </c>
    </row>
    <row r="594" spans="1:13" ht="15.4" customHeight="1">
      <c r="A594" s="52"/>
      <c r="B594" s="52"/>
      <c r="C594" s="52"/>
      <c r="D594" s="53" t="s">
        <v>783</v>
      </c>
      <c r="E594" s="52"/>
      <c r="F594" s="52"/>
      <c r="G594" s="52"/>
      <c r="H594" s="52"/>
      <c r="I594" s="52"/>
      <c r="J594" s="52"/>
      <c r="K594" s="54">
        <v>650</v>
      </c>
      <c r="L594" s="55">
        <f>ROUND((M590+M591+M592+M593)*(1+M2/100),2)</f>
        <v>1.49</v>
      </c>
      <c r="M594" s="55">
        <f>ROUND(K594*L594,2)</f>
        <v>968.5</v>
      </c>
    </row>
    <row r="595" spans="1:13" ht="30.6" customHeight="1">
      <c r="A595" s="56" t="s">
        <v>784</v>
      </c>
      <c r="B595" s="57" t="s">
        <v>431</v>
      </c>
      <c r="C595" s="57" t="s">
        <v>56</v>
      </c>
      <c r="D595" s="58" t="s">
        <v>769</v>
      </c>
      <c r="E595" s="58"/>
      <c r="F595" s="58"/>
      <c r="G595" s="58"/>
      <c r="H595" s="58"/>
      <c r="I595" s="58"/>
      <c r="J595" s="58"/>
      <c r="K595" s="59">
        <f>SUM(K598:K598)</f>
        <v>855</v>
      </c>
      <c r="L595" s="60">
        <f>L603</f>
        <v>4</v>
      </c>
      <c r="M595" s="60">
        <f>ROUND(K595*L595,2)</f>
        <v>3420</v>
      </c>
    </row>
    <row r="596" spans="1:13" ht="58.35" customHeight="1">
      <c r="A596" s="39"/>
      <c r="B596" s="39"/>
      <c r="C596" s="39"/>
      <c r="D596" s="36" t="s">
        <v>770</v>
      </c>
      <c r="E596" s="36"/>
      <c r="F596" s="36"/>
      <c r="G596" s="36"/>
      <c r="H596" s="36"/>
      <c r="I596" s="36"/>
      <c r="J596" s="36"/>
      <c r="K596" s="36"/>
      <c r="L596" s="36"/>
      <c r="M596" s="36"/>
    </row>
    <row r="597" spans="1:13" ht="15.2" customHeight="1">
      <c r="A597" s="39"/>
      <c r="B597" s="39"/>
      <c r="C597" s="39"/>
      <c r="D597" s="39"/>
      <c r="E597" s="40"/>
      <c r="F597" s="41" t="s">
        <v>434</v>
      </c>
      <c r="G597" s="41" t="s">
        <v>435</v>
      </c>
      <c r="H597" s="41" t="s">
        <v>436</v>
      </c>
      <c r="I597" s="41" t="s">
        <v>437</v>
      </c>
      <c r="J597" s="41" t="s">
        <v>438</v>
      </c>
      <c r="K597" s="41" t="s">
        <v>439</v>
      </c>
      <c r="L597" s="39"/>
      <c r="M597" s="39"/>
    </row>
    <row r="598" spans="1:13" ht="21.4" customHeight="1">
      <c r="A598" s="39"/>
      <c r="B598" s="39"/>
      <c r="C598" s="39"/>
      <c r="D598" s="42"/>
      <c r="E598" s="43" t="s">
        <v>771</v>
      </c>
      <c r="F598" s="44">
        <v>855</v>
      </c>
      <c r="G598" s="45"/>
      <c r="H598" s="45"/>
      <c r="I598" s="45"/>
      <c r="J598" s="46">
        <f>ROUND(F598,3)</f>
        <v>855</v>
      </c>
      <c r="K598" s="47">
        <f>SUM(J598:J598)</f>
        <v>855</v>
      </c>
      <c r="L598" s="39"/>
      <c r="M598" s="39"/>
    </row>
    <row r="599" spans="1:13" ht="39.75" customHeight="1">
      <c r="A599" s="35" t="s">
        <v>772</v>
      </c>
      <c r="B599" s="35" t="s">
        <v>451</v>
      </c>
      <c r="C599" s="35" t="s">
        <v>56</v>
      </c>
      <c r="D599" s="36" t="s">
        <v>773</v>
      </c>
      <c r="E599" s="36"/>
      <c r="F599" s="36"/>
      <c r="G599" s="36"/>
      <c r="H599" s="36"/>
      <c r="I599" s="36"/>
      <c r="J599" s="36"/>
      <c r="K599" s="37">
        <v>1</v>
      </c>
      <c r="L599" s="37">
        <f>ROUND(3.16,3)</f>
        <v>3.16</v>
      </c>
      <c r="M599" s="38">
        <f>ROUND(K599*L599,2)</f>
        <v>3.16</v>
      </c>
    </row>
    <row r="600" spans="1:13" ht="15.2" customHeight="1">
      <c r="A600" s="35" t="s">
        <v>493</v>
      </c>
      <c r="B600" s="35" t="s">
        <v>455</v>
      </c>
      <c r="C600" s="35" t="s">
        <v>456</v>
      </c>
      <c r="D600" s="36" t="s">
        <v>494</v>
      </c>
      <c r="E600" s="36"/>
      <c r="F600" s="36"/>
      <c r="G600" s="36"/>
      <c r="H600" s="36"/>
      <c r="I600" s="36"/>
      <c r="J600" s="36"/>
      <c r="K600" s="37">
        <v>1.7000000000000001E-2</v>
      </c>
      <c r="L600" s="37">
        <f>ROUND(20.33,3)</f>
        <v>20.329999999999998</v>
      </c>
      <c r="M600" s="38">
        <f>ROUND(K600*L600,2)</f>
        <v>0.35</v>
      </c>
    </row>
    <row r="601" spans="1:13" ht="15.2" customHeight="1">
      <c r="A601" s="35" t="s">
        <v>495</v>
      </c>
      <c r="B601" s="35" t="s">
        <v>455</v>
      </c>
      <c r="C601" s="35" t="s">
        <v>456</v>
      </c>
      <c r="D601" s="36" t="s">
        <v>496</v>
      </c>
      <c r="E601" s="36"/>
      <c r="F601" s="36"/>
      <c r="G601" s="36"/>
      <c r="H601" s="36"/>
      <c r="I601" s="36"/>
      <c r="J601" s="36"/>
      <c r="K601" s="37">
        <v>1.7000000000000001E-2</v>
      </c>
      <c r="L601" s="37">
        <f>ROUND(17.32,3)</f>
        <v>17.32</v>
      </c>
      <c r="M601" s="38">
        <f>ROUND(K601*L601,2)</f>
        <v>0.28999999999999998</v>
      </c>
    </row>
    <row r="602" spans="1:13" ht="15.2" customHeight="1">
      <c r="A602" s="35" t="s">
        <v>460</v>
      </c>
      <c r="B602" s="35"/>
      <c r="C602" s="35" t="s">
        <v>460</v>
      </c>
      <c r="D602" s="36" t="s">
        <v>461</v>
      </c>
      <c r="E602" s="36"/>
      <c r="F602" s="36"/>
      <c r="G602" s="36"/>
      <c r="H602" s="36"/>
      <c r="I602" s="36"/>
      <c r="J602" s="36"/>
      <c r="K602" s="37">
        <v>2</v>
      </c>
      <c r="L602" s="37">
        <f>ROUND(3.8,3)</f>
        <v>3.8</v>
      </c>
      <c r="M602" s="38">
        <f>ROUND((K602*L602)/100,2)</f>
        <v>0.08</v>
      </c>
    </row>
    <row r="603" spans="1:13" ht="15.4" customHeight="1">
      <c r="A603" s="52"/>
      <c r="B603" s="52"/>
      <c r="C603" s="52"/>
      <c r="D603" s="53" t="s">
        <v>784</v>
      </c>
      <c r="E603" s="52"/>
      <c r="F603" s="52"/>
      <c r="G603" s="52"/>
      <c r="H603" s="52"/>
      <c r="I603" s="52"/>
      <c r="J603" s="52"/>
      <c r="K603" s="54">
        <v>855</v>
      </c>
      <c r="L603" s="55">
        <f>ROUND((M599+M600+M601+M602)*(1+M2/100),2)</f>
        <v>4</v>
      </c>
      <c r="M603" s="55">
        <f>ROUND(K603*L603,2)</f>
        <v>3420</v>
      </c>
    </row>
    <row r="604" spans="1:13" ht="21.4" customHeight="1">
      <c r="A604" s="56" t="s">
        <v>785</v>
      </c>
      <c r="B604" s="57" t="s">
        <v>431</v>
      </c>
      <c r="C604" s="57" t="s">
        <v>422</v>
      </c>
      <c r="D604" s="58" t="s">
        <v>786</v>
      </c>
      <c r="E604" s="58"/>
      <c r="F604" s="58"/>
      <c r="G604" s="58"/>
      <c r="H604" s="58"/>
      <c r="I604" s="58"/>
      <c r="J604" s="58"/>
      <c r="K604" s="59">
        <f>SUM(K607:K607)</f>
        <v>1</v>
      </c>
      <c r="L604" s="60">
        <f>L613</f>
        <v>26.74</v>
      </c>
      <c r="M604" s="60">
        <f>ROUND(K604*L604,2)</f>
        <v>26.74</v>
      </c>
    </row>
    <row r="605" spans="1:13" ht="49.15" customHeight="1">
      <c r="A605" s="39"/>
      <c r="B605" s="39"/>
      <c r="C605" s="39"/>
      <c r="D605" s="36" t="s">
        <v>787</v>
      </c>
      <c r="E605" s="36"/>
      <c r="F605" s="36"/>
      <c r="G605" s="36"/>
      <c r="H605" s="36"/>
      <c r="I605" s="36"/>
      <c r="J605" s="36"/>
      <c r="K605" s="36"/>
      <c r="L605" s="36"/>
      <c r="M605" s="36"/>
    </row>
    <row r="606" spans="1:13" ht="15.2" customHeight="1">
      <c r="A606" s="39"/>
      <c r="B606" s="39"/>
      <c r="C606" s="39"/>
      <c r="D606" s="39"/>
      <c r="E606" s="40"/>
      <c r="F606" s="41" t="s">
        <v>434</v>
      </c>
      <c r="G606" s="41" t="s">
        <v>435</v>
      </c>
      <c r="H606" s="41" t="s">
        <v>436</v>
      </c>
      <c r="I606" s="41" t="s">
        <v>437</v>
      </c>
      <c r="J606" s="41" t="s">
        <v>438</v>
      </c>
      <c r="K606" s="41" t="s">
        <v>439</v>
      </c>
      <c r="L606" s="39"/>
      <c r="M606" s="39"/>
    </row>
    <row r="607" spans="1:13" ht="21.4" customHeight="1">
      <c r="A607" s="39"/>
      <c r="B607" s="39"/>
      <c r="C607" s="39"/>
      <c r="D607" s="42"/>
      <c r="E607" s="43" t="s">
        <v>788</v>
      </c>
      <c r="F607" s="44">
        <v>1</v>
      </c>
      <c r="G607" s="45"/>
      <c r="H607" s="45"/>
      <c r="I607" s="45"/>
      <c r="J607" s="46">
        <f>ROUND(F607,3)</f>
        <v>1</v>
      </c>
      <c r="K607" s="47">
        <f>SUM(J607:J607)</f>
        <v>1</v>
      </c>
      <c r="L607" s="39"/>
      <c r="M607" s="39"/>
    </row>
    <row r="608" spans="1:13" ht="21.4" customHeight="1">
      <c r="A608" s="35" t="s">
        <v>789</v>
      </c>
      <c r="B608" s="35" t="s">
        <v>451</v>
      </c>
      <c r="C608" s="35" t="s">
        <v>422</v>
      </c>
      <c r="D608" s="36" t="s">
        <v>790</v>
      </c>
      <c r="E608" s="36"/>
      <c r="F608" s="36"/>
      <c r="G608" s="36"/>
      <c r="H608" s="36"/>
      <c r="I608" s="36"/>
      <c r="J608" s="36"/>
      <c r="K608" s="37">
        <v>1</v>
      </c>
      <c r="L608" s="37">
        <f>ROUND(11.49,3)</f>
        <v>11.49</v>
      </c>
      <c r="M608" s="38">
        <f>ROUND(K608*L608,2)</f>
        <v>11.49</v>
      </c>
    </row>
    <row r="609" spans="1:13" ht="21.4" customHeight="1">
      <c r="A609" s="35" t="s">
        <v>791</v>
      </c>
      <c r="B609" s="35" t="s">
        <v>451</v>
      </c>
      <c r="C609" s="35" t="s">
        <v>422</v>
      </c>
      <c r="D609" s="36" t="s">
        <v>792</v>
      </c>
      <c r="E609" s="36"/>
      <c r="F609" s="36"/>
      <c r="G609" s="36"/>
      <c r="H609" s="36"/>
      <c r="I609" s="36"/>
      <c r="J609" s="36"/>
      <c r="K609" s="37">
        <v>1</v>
      </c>
      <c r="L609" s="37">
        <f>ROUND(2.28,3)</f>
        <v>2.2799999999999998</v>
      </c>
      <c r="M609" s="38">
        <f>ROUND(K609*L609,2)</f>
        <v>2.2799999999999998</v>
      </c>
    </row>
    <row r="610" spans="1:13" ht="21.4" customHeight="1">
      <c r="A610" s="35" t="s">
        <v>793</v>
      </c>
      <c r="B610" s="35" t="s">
        <v>451</v>
      </c>
      <c r="C610" s="35" t="s">
        <v>422</v>
      </c>
      <c r="D610" s="36" t="s">
        <v>794</v>
      </c>
      <c r="E610" s="36"/>
      <c r="F610" s="36"/>
      <c r="G610" s="36"/>
      <c r="H610" s="36"/>
      <c r="I610" s="36"/>
      <c r="J610" s="36"/>
      <c r="K610" s="37">
        <v>1</v>
      </c>
      <c r="L610" s="37">
        <f>ROUND(6.54,3)</f>
        <v>6.54</v>
      </c>
      <c r="M610" s="38">
        <f>ROUND(K610*L610,2)</f>
        <v>6.54</v>
      </c>
    </row>
    <row r="611" spans="1:13" ht="15.2" customHeight="1">
      <c r="A611" s="35" t="s">
        <v>493</v>
      </c>
      <c r="B611" s="35" t="s">
        <v>455</v>
      </c>
      <c r="C611" s="35" t="s">
        <v>456</v>
      </c>
      <c r="D611" s="36" t="s">
        <v>494</v>
      </c>
      <c r="E611" s="36"/>
      <c r="F611" s="36"/>
      <c r="G611" s="36"/>
      <c r="H611" s="36"/>
      <c r="I611" s="36"/>
      <c r="J611" s="36"/>
      <c r="K611" s="37">
        <v>0.253</v>
      </c>
      <c r="L611" s="37">
        <f>ROUND(20.33,3)</f>
        <v>20.329999999999998</v>
      </c>
      <c r="M611" s="38">
        <f>ROUND(K611*L611,2)</f>
        <v>5.14</v>
      </c>
    </row>
    <row r="612" spans="1:13" ht="15.2" customHeight="1">
      <c r="A612" s="35" t="s">
        <v>460</v>
      </c>
      <c r="B612" s="35"/>
      <c r="C612" s="35" t="s">
        <v>460</v>
      </c>
      <c r="D612" s="36" t="s">
        <v>461</v>
      </c>
      <c r="E612" s="36"/>
      <c r="F612" s="36"/>
      <c r="G612" s="36"/>
      <c r="H612" s="36"/>
      <c r="I612" s="36"/>
      <c r="J612" s="36"/>
      <c r="K612" s="37">
        <v>2</v>
      </c>
      <c r="L612" s="37">
        <f>ROUND(25.45,3)</f>
        <v>25.45</v>
      </c>
      <c r="M612" s="38">
        <f>ROUND((K612*L612)/100,2)</f>
        <v>0.51</v>
      </c>
    </row>
    <row r="613" spans="1:13" ht="15.4" customHeight="1">
      <c r="A613" s="52"/>
      <c r="B613" s="52"/>
      <c r="C613" s="52"/>
      <c r="D613" s="53" t="s">
        <v>785</v>
      </c>
      <c r="E613" s="52"/>
      <c r="F613" s="52"/>
      <c r="G613" s="52"/>
      <c r="H613" s="52"/>
      <c r="I613" s="52"/>
      <c r="J613" s="52"/>
      <c r="K613" s="54">
        <v>1</v>
      </c>
      <c r="L613" s="55">
        <f>ROUND((M608+M609+M610+M611+M612)*(1+M2/100),2)</f>
        <v>26.74</v>
      </c>
      <c r="M613" s="55">
        <f>ROUND(K613*L613,2)</f>
        <v>26.74</v>
      </c>
    </row>
    <row r="614" spans="1:13" ht="21.4" customHeight="1">
      <c r="A614" s="56" t="s">
        <v>795</v>
      </c>
      <c r="B614" s="57" t="s">
        <v>431</v>
      </c>
      <c r="C614" s="57" t="s">
        <v>56</v>
      </c>
      <c r="D614" s="58" t="s">
        <v>796</v>
      </c>
      <c r="E614" s="58"/>
      <c r="F614" s="58"/>
      <c r="G614" s="58"/>
      <c r="H614" s="58"/>
      <c r="I614" s="58"/>
      <c r="J614" s="58"/>
      <c r="K614" s="59">
        <f>SUM(K617:K617)</f>
        <v>1260</v>
      </c>
      <c r="L614" s="60">
        <f>L622</f>
        <v>9.5299999999999994</v>
      </c>
      <c r="M614" s="60">
        <f>ROUND(K614*L614,2)</f>
        <v>12007.8</v>
      </c>
    </row>
    <row r="615" spans="1:13" ht="49.15" customHeight="1">
      <c r="A615" s="39"/>
      <c r="B615" s="39"/>
      <c r="C615" s="39"/>
      <c r="D615" s="36" t="s">
        <v>797</v>
      </c>
      <c r="E615" s="36"/>
      <c r="F615" s="36"/>
      <c r="G615" s="36"/>
      <c r="H615" s="36"/>
      <c r="I615" s="36"/>
      <c r="J615" s="36"/>
      <c r="K615" s="36"/>
      <c r="L615" s="36"/>
      <c r="M615" s="36"/>
    </row>
    <row r="616" spans="1:13" ht="15.2" customHeight="1">
      <c r="A616" s="39"/>
      <c r="B616" s="39"/>
      <c r="C616" s="39"/>
      <c r="D616" s="39"/>
      <c r="E616" s="40"/>
      <c r="F616" s="41" t="s">
        <v>434</v>
      </c>
      <c r="G616" s="41" t="s">
        <v>435</v>
      </c>
      <c r="H616" s="41" t="s">
        <v>436</v>
      </c>
      <c r="I616" s="41" t="s">
        <v>437</v>
      </c>
      <c r="J616" s="41" t="s">
        <v>438</v>
      </c>
      <c r="K616" s="41" t="s">
        <v>439</v>
      </c>
      <c r="L616" s="39"/>
      <c r="M616" s="39"/>
    </row>
    <row r="617" spans="1:13" ht="21.4" customHeight="1">
      <c r="A617" s="39"/>
      <c r="B617" s="39"/>
      <c r="C617" s="39"/>
      <c r="D617" s="42"/>
      <c r="E617" s="43" t="s">
        <v>798</v>
      </c>
      <c r="F617" s="44">
        <v>1260</v>
      </c>
      <c r="G617" s="45"/>
      <c r="H617" s="45"/>
      <c r="I617" s="45"/>
      <c r="J617" s="46">
        <f>ROUND(F617,3)</f>
        <v>1260</v>
      </c>
      <c r="K617" s="47">
        <f>SUM(J617:J617)</f>
        <v>1260</v>
      </c>
      <c r="L617" s="39"/>
      <c r="M617" s="39"/>
    </row>
    <row r="618" spans="1:13" ht="15.2" customHeight="1">
      <c r="A618" s="35" t="s">
        <v>799</v>
      </c>
      <c r="B618" s="35" t="s">
        <v>451</v>
      </c>
      <c r="C618" s="35" t="s">
        <v>56</v>
      </c>
      <c r="D618" s="36" t="s">
        <v>800</v>
      </c>
      <c r="E618" s="36"/>
      <c r="F618" s="36"/>
      <c r="G618" s="36"/>
      <c r="H618" s="36"/>
      <c r="I618" s="36"/>
      <c r="J618" s="36"/>
      <c r="K618" s="37">
        <v>1</v>
      </c>
      <c r="L618" s="37">
        <f>ROUND(7,3)</f>
        <v>7</v>
      </c>
      <c r="M618" s="38">
        <f>ROUND(K618*L618,2)</f>
        <v>7</v>
      </c>
    </row>
    <row r="619" spans="1:13" ht="15.2" customHeight="1">
      <c r="A619" s="35" t="s">
        <v>527</v>
      </c>
      <c r="B619" s="35" t="s">
        <v>455</v>
      </c>
      <c r="C619" s="35" t="s">
        <v>456</v>
      </c>
      <c r="D619" s="36" t="s">
        <v>528</v>
      </c>
      <c r="E619" s="36"/>
      <c r="F619" s="36"/>
      <c r="G619" s="36"/>
      <c r="H619" s="36"/>
      <c r="I619" s="36"/>
      <c r="J619" s="36"/>
      <c r="K619" s="37">
        <v>5.5E-2</v>
      </c>
      <c r="L619" s="37">
        <f>ROUND(20.33,3)</f>
        <v>20.329999999999998</v>
      </c>
      <c r="M619" s="38">
        <f>ROUND(K619*L619,2)</f>
        <v>1.1200000000000001</v>
      </c>
    </row>
    <row r="620" spans="1:13" ht="15.2" customHeight="1">
      <c r="A620" s="35" t="s">
        <v>529</v>
      </c>
      <c r="B620" s="35" t="s">
        <v>455</v>
      </c>
      <c r="C620" s="35" t="s">
        <v>456</v>
      </c>
      <c r="D620" s="36" t="s">
        <v>530</v>
      </c>
      <c r="E620" s="36"/>
      <c r="F620" s="36"/>
      <c r="G620" s="36"/>
      <c r="H620" s="36"/>
      <c r="I620" s="36"/>
      <c r="J620" s="36"/>
      <c r="K620" s="37">
        <v>5.5E-2</v>
      </c>
      <c r="L620" s="37">
        <f>ROUND(17.32,3)</f>
        <v>17.32</v>
      </c>
      <c r="M620" s="38">
        <f>ROUND(K620*L620,2)</f>
        <v>0.95</v>
      </c>
    </row>
    <row r="621" spans="1:13" ht="15.2" customHeight="1">
      <c r="A621" s="35" t="s">
        <v>460</v>
      </c>
      <c r="B621" s="35"/>
      <c r="C621" s="35" t="s">
        <v>460</v>
      </c>
      <c r="D621" s="36" t="s">
        <v>461</v>
      </c>
      <c r="E621" s="36"/>
      <c r="F621" s="36"/>
      <c r="G621" s="36"/>
      <c r="H621" s="36"/>
      <c r="I621" s="36"/>
      <c r="J621" s="36"/>
      <c r="K621" s="37">
        <v>2</v>
      </c>
      <c r="L621" s="37">
        <f>ROUND(9.07,3)</f>
        <v>9.07</v>
      </c>
      <c r="M621" s="38">
        <f>ROUND((K621*L621)/100,2)</f>
        <v>0.18</v>
      </c>
    </row>
    <row r="622" spans="1:13" ht="15.4" customHeight="1">
      <c r="A622" s="52"/>
      <c r="B622" s="52"/>
      <c r="C622" s="52"/>
      <c r="D622" s="53" t="s">
        <v>795</v>
      </c>
      <c r="E622" s="52"/>
      <c r="F622" s="52"/>
      <c r="G622" s="52"/>
      <c r="H622" s="52"/>
      <c r="I622" s="52"/>
      <c r="J622" s="52"/>
      <c r="K622" s="54">
        <v>1260</v>
      </c>
      <c r="L622" s="55">
        <f>ROUND((M618+M619+M620+M621)*(1+M2/100),2)</f>
        <v>9.5299999999999994</v>
      </c>
      <c r="M622" s="55">
        <f>ROUND(K622*L622,2)</f>
        <v>12007.8</v>
      </c>
    </row>
    <row r="623" spans="1:13" ht="15.4" customHeight="1">
      <c r="A623" s="79"/>
      <c r="B623" s="79"/>
      <c r="C623" s="79"/>
      <c r="D623" s="83" t="s">
        <v>71</v>
      </c>
      <c r="E623" s="84"/>
      <c r="F623" s="84"/>
      <c r="G623" s="84"/>
      <c r="H623" s="84"/>
      <c r="I623" s="84"/>
      <c r="J623" s="84"/>
      <c r="K623" s="84"/>
      <c r="L623" s="85">
        <f>M575+M576+M581+M586+M595+M604+M614</f>
        <v>42455.83</v>
      </c>
      <c r="M623" s="85">
        <f>ROUND(L623,2)</f>
        <v>42455.83</v>
      </c>
    </row>
    <row r="624" spans="1:13" ht="15.4" customHeight="1">
      <c r="A624" s="79"/>
      <c r="B624" s="79"/>
      <c r="C624" s="79"/>
      <c r="D624" s="86" t="s">
        <v>427</v>
      </c>
      <c r="E624" s="87"/>
      <c r="F624" s="87"/>
      <c r="G624" s="87"/>
      <c r="H624" s="87"/>
      <c r="I624" s="87"/>
      <c r="J624" s="87"/>
      <c r="K624" s="87"/>
      <c r="L624" s="88">
        <f>M129+M507+M623</f>
        <v>250005.86000000004</v>
      </c>
      <c r="M624" s="88">
        <f>ROUND(L624,2)</f>
        <v>250005.86</v>
      </c>
    </row>
  </sheetData>
  <pageMargins left="0.62007900000000005" right="0.472441" top="0.472441" bottom="0.472441" header="0" footer="0"/>
  <pageSetup paperSize="9" orientation="landscape" r:id="rId1"/>
  <rowBreaks count="2" manualBreakCount="2">
    <brk max="16383" man="1"/>
    <brk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7C14C-F6BD-4D46-A9D8-45D37CF7187A}">
  <dimension ref="A1:M547"/>
  <sheetViews>
    <sheetView topLeftCell="A518" workbookViewId="0">
      <selection activeCell="L401" sqref="L401"/>
    </sheetView>
  </sheetViews>
  <sheetFormatPr baseColWidth="10" defaultRowHeight="15"/>
  <cols>
    <col min="1" max="1" width="10.5703125" style="90" customWidth="1"/>
    <col min="2" max="2" width="9.42578125" style="90" customWidth="1"/>
    <col min="3" max="3" width="4.42578125" style="90" customWidth="1"/>
    <col min="4" max="4" width="109.5703125" style="90" customWidth="1"/>
    <col min="5" max="5" width="14.7109375" style="90" customWidth="1"/>
    <col min="6" max="7" width="8" style="90" customWidth="1"/>
    <col min="8" max="8" width="8.140625" style="90" customWidth="1"/>
    <col min="9" max="9" width="7" style="90" customWidth="1"/>
    <col min="10" max="10" width="8.85546875" style="90" customWidth="1"/>
    <col min="11" max="11" width="11.7109375" style="90" customWidth="1"/>
    <col min="12" max="12" width="11.5703125" style="90" customWidth="1"/>
    <col min="13" max="13" width="11.7109375" style="90" customWidth="1"/>
    <col min="14" max="16384" width="11.42578125" style="90"/>
  </cols>
  <sheetData>
    <row r="1" spans="1:13">
      <c r="A1" s="17" t="s">
        <v>416</v>
      </c>
      <c r="B1" s="89" t="s">
        <v>801</v>
      </c>
      <c r="C1" s="18"/>
      <c r="D1" s="18"/>
      <c r="E1" s="18"/>
      <c r="F1" s="18"/>
      <c r="G1" s="18"/>
      <c r="H1" s="18"/>
      <c r="I1" s="18"/>
      <c r="J1" s="18"/>
      <c r="K1" s="18"/>
      <c r="L1" s="18"/>
      <c r="M1" s="18"/>
    </row>
    <row r="2" spans="1:13" ht="25.5">
      <c r="A2" s="18" t="s">
        <v>418</v>
      </c>
      <c r="B2" s="18"/>
      <c r="C2" s="18"/>
      <c r="D2" s="20"/>
      <c r="E2" s="20"/>
      <c r="F2" s="20"/>
      <c r="G2" s="20"/>
      <c r="H2" s="20"/>
      <c r="I2" s="20"/>
      <c r="J2" s="20"/>
      <c r="K2" s="20"/>
      <c r="L2" s="21" t="s">
        <v>419</v>
      </c>
      <c r="M2" s="22">
        <v>3</v>
      </c>
    </row>
    <row r="3" spans="1:13">
      <c r="A3" s="23" t="s">
        <v>420</v>
      </c>
      <c r="B3" s="23" t="s">
        <v>421</v>
      </c>
      <c r="C3" s="23" t="s">
        <v>422</v>
      </c>
      <c r="D3" s="23" t="s">
        <v>423</v>
      </c>
      <c r="E3" s="24"/>
      <c r="F3" s="24"/>
      <c r="G3" s="24"/>
      <c r="H3" s="24"/>
      <c r="I3" s="24"/>
      <c r="J3" s="24"/>
      <c r="K3" s="25" t="s">
        <v>424</v>
      </c>
      <c r="L3" s="25" t="s">
        <v>425</v>
      </c>
      <c r="M3" s="25" t="s">
        <v>426</v>
      </c>
    </row>
    <row r="4" spans="1:13" ht="33.75">
      <c r="A4" s="26" t="s">
        <v>802</v>
      </c>
      <c r="B4" s="26" t="s">
        <v>428</v>
      </c>
      <c r="C4" s="27"/>
      <c r="D4" s="28" t="s">
        <v>801</v>
      </c>
      <c r="E4" s="28"/>
      <c r="F4" s="28"/>
      <c r="G4" s="28"/>
      <c r="H4" s="28"/>
      <c r="I4" s="28"/>
      <c r="J4" s="28"/>
      <c r="K4" s="27"/>
      <c r="L4" s="29">
        <f>L547</f>
        <v>204878.88999999998</v>
      </c>
      <c r="M4" s="29">
        <f>ROUND(L4,2)</f>
        <v>204878.89</v>
      </c>
    </row>
    <row r="5" spans="1:13">
      <c r="A5" s="30" t="s">
        <v>14</v>
      </c>
      <c r="B5" s="30" t="s">
        <v>428</v>
      </c>
      <c r="C5" s="31"/>
      <c r="D5" s="32" t="s">
        <v>429</v>
      </c>
      <c r="E5" s="32"/>
      <c r="F5" s="32"/>
      <c r="G5" s="32"/>
      <c r="H5" s="32"/>
      <c r="I5" s="32"/>
      <c r="J5" s="32"/>
      <c r="K5" s="31"/>
      <c r="L5" s="33">
        <f>L152</f>
        <v>46007.92</v>
      </c>
      <c r="M5" s="33">
        <f>ROUND(L5,2)</f>
        <v>46007.92</v>
      </c>
    </row>
    <row r="6" spans="1:13" ht="22.5">
      <c r="A6" s="34" t="s">
        <v>803</v>
      </c>
      <c r="B6" s="35" t="s">
        <v>431</v>
      </c>
      <c r="C6" s="35" t="s">
        <v>3</v>
      </c>
      <c r="D6" s="36" t="s">
        <v>804</v>
      </c>
      <c r="E6" s="36"/>
      <c r="F6" s="36"/>
      <c r="G6" s="36"/>
      <c r="H6" s="36"/>
      <c r="I6" s="36"/>
      <c r="J6" s="36"/>
      <c r="K6" s="37">
        <f>SUM(K9:K9)</f>
        <v>1</v>
      </c>
      <c r="L6" s="38">
        <f>ROUND(4434.951*(1+M2/100),2)</f>
        <v>4568</v>
      </c>
      <c r="M6" s="38">
        <f>ROUND(K6*L6,2)</f>
        <v>4568</v>
      </c>
    </row>
    <row r="7" spans="1:13" ht="56.25">
      <c r="A7" s="39"/>
      <c r="B7" s="39"/>
      <c r="C7" s="39"/>
      <c r="D7" s="36" t="s">
        <v>805</v>
      </c>
      <c r="E7" s="36"/>
      <c r="F7" s="36"/>
      <c r="G7" s="36"/>
      <c r="H7" s="36"/>
      <c r="I7" s="36"/>
      <c r="J7" s="36"/>
      <c r="K7" s="36"/>
      <c r="L7" s="36"/>
      <c r="M7" s="36"/>
    </row>
    <row r="8" spans="1:13">
      <c r="A8" s="39"/>
      <c r="B8" s="39"/>
      <c r="C8" s="39"/>
      <c r="D8" s="39"/>
      <c r="E8" s="40"/>
      <c r="F8" s="41" t="s">
        <v>434</v>
      </c>
      <c r="G8" s="41" t="s">
        <v>435</v>
      </c>
      <c r="H8" s="41" t="s">
        <v>436</v>
      </c>
      <c r="I8" s="41" t="s">
        <v>437</v>
      </c>
      <c r="J8" s="41" t="s">
        <v>438</v>
      </c>
      <c r="K8" s="41" t="s">
        <v>439</v>
      </c>
      <c r="L8" s="39"/>
      <c r="M8" s="39"/>
    </row>
    <row r="9" spans="1:13">
      <c r="A9" s="39"/>
      <c r="B9" s="39"/>
      <c r="C9" s="39"/>
      <c r="D9" s="42"/>
      <c r="E9" s="43"/>
      <c r="F9" s="44">
        <v>1</v>
      </c>
      <c r="G9" s="45"/>
      <c r="H9" s="45"/>
      <c r="I9" s="45"/>
      <c r="J9" s="46">
        <f>ROUND(F9,3)</f>
        <v>1</v>
      </c>
      <c r="K9" s="47">
        <f>SUM(J9:J9)</f>
        <v>1</v>
      </c>
      <c r="L9" s="39"/>
      <c r="M9" s="39"/>
    </row>
    <row r="10" spans="1:13">
      <c r="A10" s="34" t="s">
        <v>430</v>
      </c>
      <c r="B10" s="35" t="s">
        <v>431</v>
      </c>
      <c r="C10" s="35" t="s">
        <v>3</v>
      </c>
      <c r="D10" s="36" t="s">
        <v>432</v>
      </c>
      <c r="E10" s="36"/>
      <c r="F10" s="36"/>
      <c r="G10" s="36"/>
      <c r="H10" s="36"/>
      <c r="I10" s="36"/>
      <c r="J10" s="36"/>
      <c r="K10" s="37">
        <f>SUM(K13:K13)</f>
        <v>850</v>
      </c>
      <c r="L10" s="38">
        <f>ROUND(2.37*(1+M2/100),2)</f>
        <v>2.44</v>
      </c>
      <c r="M10" s="38">
        <f>ROUND(K10*L10,2)</f>
        <v>2074</v>
      </c>
    </row>
    <row r="11" spans="1:13">
      <c r="A11" s="39"/>
      <c r="B11" s="39"/>
      <c r="C11" s="39"/>
      <c r="D11" s="36" t="s">
        <v>433</v>
      </c>
      <c r="E11" s="36"/>
      <c r="F11" s="36"/>
      <c r="G11" s="36"/>
      <c r="H11" s="36"/>
      <c r="I11" s="36"/>
      <c r="J11" s="36"/>
      <c r="K11" s="36"/>
      <c r="L11" s="36"/>
      <c r="M11" s="36"/>
    </row>
    <row r="12" spans="1:13">
      <c r="A12" s="39"/>
      <c r="B12" s="39"/>
      <c r="C12" s="39"/>
      <c r="D12" s="39"/>
      <c r="E12" s="40"/>
      <c r="F12" s="41" t="s">
        <v>434</v>
      </c>
      <c r="G12" s="41" t="s">
        <v>435</v>
      </c>
      <c r="H12" s="41" t="s">
        <v>436</v>
      </c>
      <c r="I12" s="41" t="s">
        <v>437</v>
      </c>
      <c r="J12" s="41" t="s">
        <v>438</v>
      </c>
      <c r="K12" s="41" t="s">
        <v>439</v>
      </c>
      <c r="L12" s="39"/>
      <c r="M12" s="39"/>
    </row>
    <row r="13" spans="1:13">
      <c r="A13" s="39"/>
      <c r="B13" s="39"/>
      <c r="C13" s="39"/>
      <c r="D13" s="42"/>
      <c r="E13" s="43" t="s">
        <v>440</v>
      </c>
      <c r="F13" s="44">
        <v>850</v>
      </c>
      <c r="G13" s="45"/>
      <c r="H13" s="45"/>
      <c r="I13" s="45"/>
      <c r="J13" s="46">
        <f>ROUND(F13,3)</f>
        <v>850</v>
      </c>
      <c r="K13" s="47">
        <f>SUM(J13:J13)</f>
        <v>850</v>
      </c>
      <c r="L13" s="39"/>
      <c r="M13" s="39"/>
    </row>
    <row r="14" spans="1:13">
      <c r="A14" s="34" t="s">
        <v>441</v>
      </c>
      <c r="B14" s="35" t="s">
        <v>431</v>
      </c>
      <c r="C14" s="35" t="s">
        <v>3</v>
      </c>
      <c r="D14" s="36" t="s">
        <v>442</v>
      </c>
      <c r="E14" s="36"/>
      <c r="F14" s="36"/>
      <c r="G14" s="36"/>
      <c r="H14" s="36"/>
      <c r="I14" s="36"/>
      <c r="J14" s="36"/>
      <c r="K14" s="37">
        <f>SUM(K17:K18)</f>
        <v>2</v>
      </c>
      <c r="L14" s="38">
        <f>ROUND(865.6*(1+M2/100),2)</f>
        <v>891.57</v>
      </c>
      <c r="M14" s="38">
        <f>ROUND(K14*L14,2)</f>
        <v>1783.14</v>
      </c>
    </row>
    <row r="15" spans="1:13">
      <c r="A15" s="39"/>
      <c r="B15" s="39"/>
      <c r="C15" s="39"/>
      <c r="D15" s="36" t="s">
        <v>443</v>
      </c>
      <c r="E15" s="36"/>
      <c r="F15" s="36"/>
      <c r="G15" s="36"/>
      <c r="H15" s="36"/>
      <c r="I15" s="36"/>
      <c r="J15" s="36"/>
      <c r="K15" s="36"/>
      <c r="L15" s="36"/>
      <c r="M15" s="36"/>
    </row>
    <row r="16" spans="1:13">
      <c r="A16" s="39"/>
      <c r="B16" s="39"/>
      <c r="C16" s="39"/>
      <c r="D16" s="39"/>
      <c r="E16" s="40"/>
      <c r="F16" s="41" t="s">
        <v>434</v>
      </c>
      <c r="G16" s="41" t="s">
        <v>435</v>
      </c>
      <c r="H16" s="41" t="s">
        <v>436</v>
      </c>
      <c r="I16" s="41" t="s">
        <v>437</v>
      </c>
      <c r="J16" s="41" t="s">
        <v>438</v>
      </c>
      <c r="K16" s="41" t="s">
        <v>439</v>
      </c>
      <c r="L16" s="39"/>
      <c r="M16" s="39"/>
    </row>
    <row r="17" spans="1:13">
      <c r="A17" s="39"/>
      <c r="B17" s="39"/>
      <c r="C17" s="39"/>
      <c r="D17" s="42"/>
      <c r="E17" s="43" t="s">
        <v>444</v>
      </c>
      <c r="F17" s="44">
        <v>1</v>
      </c>
      <c r="G17" s="45"/>
      <c r="H17" s="45"/>
      <c r="I17" s="45"/>
      <c r="J17" s="46">
        <f>ROUND(F17,3)</f>
        <v>1</v>
      </c>
      <c r="K17" s="48"/>
      <c r="L17" s="39"/>
      <c r="M17" s="39"/>
    </row>
    <row r="18" spans="1:13">
      <c r="A18" s="39"/>
      <c r="B18" s="39"/>
      <c r="C18" s="39"/>
      <c r="D18" s="42"/>
      <c r="E18" s="35" t="s">
        <v>445</v>
      </c>
      <c r="F18" s="49">
        <v>1</v>
      </c>
      <c r="G18" s="37"/>
      <c r="H18" s="37"/>
      <c r="I18" s="37"/>
      <c r="J18" s="50">
        <f>ROUND(F18,3)</f>
        <v>1</v>
      </c>
      <c r="K18" s="51">
        <f>SUM(J17:J18)</f>
        <v>2</v>
      </c>
      <c r="L18" s="39"/>
      <c r="M18" s="39"/>
    </row>
    <row r="19" spans="1:13">
      <c r="A19" s="34" t="s">
        <v>806</v>
      </c>
      <c r="B19" s="35" t="s">
        <v>431</v>
      </c>
      <c r="C19" s="35" t="s">
        <v>422</v>
      </c>
      <c r="D19" s="36" t="s">
        <v>807</v>
      </c>
      <c r="E19" s="36"/>
      <c r="F19" s="36"/>
      <c r="G19" s="36"/>
      <c r="H19" s="36"/>
      <c r="I19" s="36"/>
      <c r="J19" s="36"/>
      <c r="K19" s="37">
        <f>SUM(K22:K22)</f>
        <v>1</v>
      </c>
      <c r="L19" s="38">
        <f>L28</f>
        <v>677.51</v>
      </c>
      <c r="M19" s="38">
        <f>ROUND(K19*L19,2)</f>
        <v>677.51</v>
      </c>
    </row>
    <row r="20" spans="1:13" ht="67.5">
      <c r="A20" s="39"/>
      <c r="B20" s="39"/>
      <c r="C20" s="39"/>
      <c r="D20" s="36" t="s">
        <v>808</v>
      </c>
      <c r="E20" s="36"/>
      <c r="F20" s="36"/>
      <c r="G20" s="36"/>
      <c r="H20" s="36"/>
      <c r="I20" s="36"/>
      <c r="J20" s="36"/>
      <c r="K20" s="36"/>
      <c r="L20" s="36"/>
      <c r="M20" s="36"/>
    </row>
    <row r="21" spans="1:13">
      <c r="A21" s="39"/>
      <c r="B21" s="39"/>
      <c r="C21" s="39"/>
      <c r="D21" s="39"/>
      <c r="E21" s="40"/>
      <c r="F21" s="41" t="s">
        <v>434</v>
      </c>
      <c r="G21" s="41" t="s">
        <v>435</v>
      </c>
      <c r="H21" s="41" t="s">
        <v>436</v>
      </c>
      <c r="I21" s="41" t="s">
        <v>437</v>
      </c>
      <c r="J21" s="41" t="s">
        <v>438</v>
      </c>
      <c r="K21" s="41" t="s">
        <v>439</v>
      </c>
      <c r="L21" s="39"/>
      <c r="M21" s="39"/>
    </row>
    <row r="22" spans="1:13" ht="22.5">
      <c r="A22" s="39"/>
      <c r="B22" s="39"/>
      <c r="C22" s="39"/>
      <c r="D22" s="42"/>
      <c r="E22" s="43" t="s">
        <v>809</v>
      </c>
      <c r="F22" s="44">
        <v>1</v>
      </c>
      <c r="G22" s="45"/>
      <c r="H22" s="45"/>
      <c r="I22" s="45"/>
      <c r="J22" s="46">
        <f>ROUND(F22,3)</f>
        <v>1</v>
      </c>
      <c r="K22" s="47">
        <f>SUM(J22:J22)</f>
        <v>1</v>
      </c>
      <c r="L22" s="39"/>
      <c r="M22" s="39"/>
    </row>
    <row r="23" spans="1:13">
      <c r="A23" s="35" t="s">
        <v>810</v>
      </c>
      <c r="B23" s="35" t="s">
        <v>451</v>
      </c>
      <c r="C23" s="35" t="s">
        <v>422</v>
      </c>
      <c r="D23" s="36" t="s">
        <v>811</v>
      </c>
      <c r="E23" s="36"/>
      <c r="F23" s="36"/>
      <c r="G23" s="36"/>
      <c r="H23" s="36"/>
      <c r="I23" s="36"/>
      <c r="J23" s="36"/>
      <c r="K23" s="37">
        <v>1</v>
      </c>
      <c r="L23" s="37">
        <f>ROUND(582,3)</f>
        <v>582</v>
      </c>
      <c r="M23" s="38">
        <f>ROUND(K23*L23,2)</f>
        <v>582</v>
      </c>
    </row>
    <row r="24" spans="1:13" ht="22.5">
      <c r="A24" s="35" t="s">
        <v>812</v>
      </c>
      <c r="B24" s="35" t="s">
        <v>451</v>
      </c>
      <c r="C24" s="35" t="s">
        <v>422</v>
      </c>
      <c r="D24" s="36" t="s">
        <v>813</v>
      </c>
      <c r="E24" s="36"/>
      <c r="F24" s="36"/>
      <c r="G24" s="36"/>
      <c r="H24" s="36"/>
      <c r="I24" s="36"/>
      <c r="J24" s="36"/>
      <c r="K24" s="37">
        <v>1</v>
      </c>
      <c r="L24" s="37">
        <f>ROUND(11,3)</f>
        <v>11</v>
      </c>
      <c r="M24" s="38">
        <f>ROUND(K24*L24,2)</f>
        <v>11</v>
      </c>
    </row>
    <row r="25" spans="1:13">
      <c r="A25" s="35" t="s">
        <v>454</v>
      </c>
      <c r="B25" s="35" t="s">
        <v>455</v>
      </c>
      <c r="C25" s="35" t="s">
        <v>456</v>
      </c>
      <c r="D25" s="36" t="s">
        <v>457</v>
      </c>
      <c r="E25" s="36"/>
      <c r="F25" s="36"/>
      <c r="G25" s="36"/>
      <c r="H25" s="36"/>
      <c r="I25" s="36"/>
      <c r="J25" s="36"/>
      <c r="K25" s="37">
        <v>1.3779999999999999</v>
      </c>
      <c r="L25" s="37">
        <f>ROUND(20.33,3)</f>
        <v>20.329999999999998</v>
      </c>
      <c r="M25" s="38">
        <f>ROUND(K25*L25,2)</f>
        <v>28.01</v>
      </c>
    </row>
    <row r="26" spans="1:13">
      <c r="A26" s="35" t="s">
        <v>458</v>
      </c>
      <c r="B26" s="35" t="s">
        <v>455</v>
      </c>
      <c r="C26" s="35" t="s">
        <v>456</v>
      </c>
      <c r="D26" s="36" t="s">
        <v>459</v>
      </c>
      <c r="E26" s="36"/>
      <c r="F26" s="36"/>
      <c r="G26" s="36"/>
      <c r="H26" s="36"/>
      <c r="I26" s="36"/>
      <c r="J26" s="36"/>
      <c r="K26" s="37">
        <v>1.3779999999999999</v>
      </c>
      <c r="L26" s="37">
        <f>ROUND(17.32,3)</f>
        <v>17.32</v>
      </c>
      <c r="M26" s="38">
        <f>ROUND(K26*L26,2)</f>
        <v>23.87</v>
      </c>
    </row>
    <row r="27" spans="1:13">
      <c r="A27" s="35" t="s">
        <v>460</v>
      </c>
      <c r="B27" s="35"/>
      <c r="C27" s="35" t="s">
        <v>460</v>
      </c>
      <c r="D27" s="36" t="s">
        <v>461</v>
      </c>
      <c r="E27" s="36"/>
      <c r="F27" s="36"/>
      <c r="G27" s="36"/>
      <c r="H27" s="36"/>
      <c r="I27" s="36"/>
      <c r="J27" s="36"/>
      <c r="K27" s="37">
        <v>2</v>
      </c>
      <c r="L27" s="37">
        <f>ROUND(644.88,3)</f>
        <v>644.88</v>
      </c>
      <c r="M27" s="38">
        <f>ROUND((K27*L27)/100,2)</f>
        <v>12.9</v>
      </c>
    </row>
    <row r="28" spans="1:13">
      <c r="A28" s="52"/>
      <c r="B28" s="52"/>
      <c r="C28" s="52"/>
      <c r="D28" s="53" t="s">
        <v>806</v>
      </c>
      <c r="E28" s="52"/>
      <c r="F28" s="52"/>
      <c r="G28" s="52"/>
      <c r="H28" s="52"/>
      <c r="I28" s="52"/>
      <c r="J28" s="52"/>
      <c r="K28" s="54">
        <v>1</v>
      </c>
      <c r="L28" s="55">
        <f>ROUND((M23+M24+M25+M26+M27)*(1+M2/100),2)</f>
        <v>677.51</v>
      </c>
      <c r="M28" s="55">
        <f>ROUND(K28*L28,2)</f>
        <v>677.51</v>
      </c>
    </row>
    <row r="29" spans="1:13">
      <c r="A29" s="56" t="s">
        <v>446</v>
      </c>
      <c r="B29" s="57" t="s">
        <v>431</v>
      </c>
      <c r="C29" s="57" t="s">
        <v>422</v>
      </c>
      <c r="D29" s="58" t="s">
        <v>447</v>
      </c>
      <c r="E29" s="58"/>
      <c r="F29" s="58"/>
      <c r="G29" s="58"/>
      <c r="H29" s="58"/>
      <c r="I29" s="58"/>
      <c r="J29" s="58"/>
      <c r="K29" s="59">
        <f>SUM(K32:K33)</f>
        <v>12</v>
      </c>
      <c r="L29" s="60">
        <f>L39</f>
        <v>76.680000000000007</v>
      </c>
      <c r="M29" s="60">
        <f>ROUND(K29*L29,2)</f>
        <v>920.16</v>
      </c>
    </row>
    <row r="30" spans="1:13" ht="56.25">
      <c r="A30" s="39"/>
      <c r="B30" s="39"/>
      <c r="C30" s="39"/>
      <c r="D30" s="36" t="s">
        <v>448</v>
      </c>
      <c r="E30" s="36"/>
      <c r="F30" s="36"/>
      <c r="G30" s="36"/>
      <c r="H30" s="36"/>
      <c r="I30" s="36"/>
      <c r="J30" s="36"/>
      <c r="K30" s="36"/>
      <c r="L30" s="36"/>
      <c r="M30" s="36"/>
    </row>
    <row r="31" spans="1:13">
      <c r="A31" s="39"/>
      <c r="B31" s="39"/>
      <c r="C31" s="39"/>
      <c r="D31" s="39"/>
      <c r="E31" s="40"/>
      <c r="F31" s="41" t="s">
        <v>434</v>
      </c>
      <c r="G31" s="41" t="s">
        <v>435</v>
      </c>
      <c r="H31" s="41" t="s">
        <v>436</v>
      </c>
      <c r="I31" s="41" t="s">
        <v>437</v>
      </c>
      <c r="J31" s="41" t="s">
        <v>438</v>
      </c>
      <c r="K31" s="41" t="s">
        <v>439</v>
      </c>
      <c r="L31" s="39"/>
      <c r="M31" s="39"/>
    </row>
    <row r="32" spans="1:13" ht="22.5">
      <c r="A32" s="39"/>
      <c r="B32" s="39"/>
      <c r="C32" s="39"/>
      <c r="D32" s="42"/>
      <c r="E32" s="43" t="s">
        <v>814</v>
      </c>
      <c r="F32" s="44">
        <v>6</v>
      </c>
      <c r="G32" s="45"/>
      <c r="H32" s="45"/>
      <c r="I32" s="45"/>
      <c r="J32" s="46">
        <f>ROUND(F32,3)</f>
        <v>6</v>
      </c>
      <c r="K32" s="48"/>
      <c r="L32" s="39"/>
      <c r="M32" s="39"/>
    </row>
    <row r="33" spans="1:13" ht="22.5">
      <c r="A33" s="39"/>
      <c r="B33" s="39"/>
      <c r="C33" s="39"/>
      <c r="D33" s="42"/>
      <c r="E33" s="35" t="s">
        <v>815</v>
      </c>
      <c r="F33" s="49">
        <v>6</v>
      </c>
      <c r="G33" s="37"/>
      <c r="H33" s="37"/>
      <c r="I33" s="37"/>
      <c r="J33" s="50">
        <f>ROUND(F33,3)</f>
        <v>6</v>
      </c>
      <c r="K33" s="51">
        <f>SUM(J32:J33)</f>
        <v>12</v>
      </c>
      <c r="L33" s="39"/>
      <c r="M33" s="39"/>
    </row>
    <row r="34" spans="1:13">
      <c r="A34" s="35" t="s">
        <v>450</v>
      </c>
      <c r="B34" s="35" t="s">
        <v>451</v>
      </c>
      <c r="C34" s="35" t="s">
        <v>422</v>
      </c>
      <c r="D34" s="36" t="s">
        <v>447</v>
      </c>
      <c r="E34" s="36"/>
      <c r="F34" s="36"/>
      <c r="G34" s="36"/>
      <c r="H34" s="36"/>
      <c r="I34" s="36"/>
      <c r="J34" s="36"/>
      <c r="K34" s="37">
        <v>1</v>
      </c>
      <c r="L34" s="37">
        <f>ROUND(68.63,3)</f>
        <v>68.63</v>
      </c>
      <c r="M34" s="38">
        <f>ROUND(K34*L34,2)</f>
        <v>68.63</v>
      </c>
    </row>
    <row r="35" spans="1:13" ht="22.5">
      <c r="A35" s="35" t="s">
        <v>452</v>
      </c>
      <c r="B35" s="35" t="s">
        <v>451</v>
      </c>
      <c r="C35" s="35" t="s">
        <v>422</v>
      </c>
      <c r="D35" s="36" t="s">
        <v>453</v>
      </c>
      <c r="E35" s="36"/>
      <c r="F35" s="36"/>
      <c r="G35" s="36"/>
      <c r="H35" s="36"/>
      <c r="I35" s="36"/>
      <c r="J35" s="36"/>
      <c r="K35" s="37">
        <v>0.1</v>
      </c>
      <c r="L35" s="37">
        <f>ROUND(2.1,3)</f>
        <v>2.1</v>
      </c>
      <c r="M35" s="38">
        <f>ROUND(K35*L35,2)</f>
        <v>0.21</v>
      </c>
    </row>
    <row r="36" spans="1:13">
      <c r="A36" s="35" t="s">
        <v>454</v>
      </c>
      <c r="B36" s="35" t="s">
        <v>455</v>
      </c>
      <c r="C36" s="35" t="s">
        <v>456</v>
      </c>
      <c r="D36" s="36" t="s">
        <v>457</v>
      </c>
      <c r="E36" s="36"/>
      <c r="F36" s="36"/>
      <c r="G36" s="36"/>
      <c r="H36" s="36"/>
      <c r="I36" s="36"/>
      <c r="J36" s="36"/>
      <c r="K36" s="37">
        <v>0.11</v>
      </c>
      <c r="L36" s="37">
        <f>ROUND(20.33,3)</f>
        <v>20.329999999999998</v>
      </c>
      <c r="M36" s="38">
        <f>ROUND(K36*L36,2)</f>
        <v>2.2400000000000002</v>
      </c>
    </row>
    <row r="37" spans="1:13">
      <c r="A37" s="35" t="s">
        <v>458</v>
      </c>
      <c r="B37" s="35" t="s">
        <v>455</v>
      </c>
      <c r="C37" s="35" t="s">
        <v>456</v>
      </c>
      <c r="D37" s="36" t="s">
        <v>459</v>
      </c>
      <c r="E37" s="36"/>
      <c r="F37" s="36"/>
      <c r="G37" s="36"/>
      <c r="H37" s="36"/>
      <c r="I37" s="36"/>
      <c r="J37" s="36"/>
      <c r="K37" s="37">
        <v>0.11</v>
      </c>
      <c r="L37" s="37">
        <f>ROUND(17.32,3)</f>
        <v>17.32</v>
      </c>
      <c r="M37" s="38">
        <f>ROUND(K37*L37,2)</f>
        <v>1.91</v>
      </c>
    </row>
    <row r="38" spans="1:13">
      <c r="A38" s="35" t="s">
        <v>460</v>
      </c>
      <c r="B38" s="35"/>
      <c r="C38" s="35" t="s">
        <v>460</v>
      </c>
      <c r="D38" s="36" t="s">
        <v>461</v>
      </c>
      <c r="E38" s="36"/>
      <c r="F38" s="36"/>
      <c r="G38" s="36"/>
      <c r="H38" s="36"/>
      <c r="I38" s="36"/>
      <c r="J38" s="36"/>
      <c r="K38" s="37">
        <v>2</v>
      </c>
      <c r="L38" s="37">
        <f>ROUND(72.99,3)</f>
        <v>72.989999999999995</v>
      </c>
      <c r="M38" s="38">
        <f>ROUND((K38*L38)/100,2)</f>
        <v>1.46</v>
      </c>
    </row>
    <row r="39" spans="1:13">
      <c r="A39" s="52"/>
      <c r="B39" s="52"/>
      <c r="C39" s="52"/>
      <c r="D39" s="53" t="s">
        <v>446</v>
      </c>
      <c r="E39" s="52"/>
      <c r="F39" s="52"/>
      <c r="G39" s="52"/>
      <c r="H39" s="52"/>
      <c r="I39" s="52"/>
      <c r="J39" s="52"/>
      <c r="K39" s="54">
        <v>12</v>
      </c>
      <c r="L39" s="55">
        <f>ROUND((M34+M35+M36+M37+M38)*(1+M2/100),2)</f>
        <v>76.680000000000007</v>
      </c>
      <c r="M39" s="55">
        <f>ROUND(K39*L39,2)</f>
        <v>920.16</v>
      </c>
    </row>
    <row r="40" spans="1:13">
      <c r="A40" s="56" t="s">
        <v>462</v>
      </c>
      <c r="B40" s="57" t="s">
        <v>431</v>
      </c>
      <c r="C40" s="57" t="s">
        <v>422</v>
      </c>
      <c r="D40" s="58" t="s">
        <v>463</v>
      </c>
      <c r="E40" s="58"/>
      <c r="F40" s="58"/>
      <c r="G40" s="58"/>
      <c r="H40" s="58"/>
      <c r="I40" s="58"/>
      <c r="J40" s="58"/>
      <c r="K40" s="59">
        <f>SUM(K43:K44)</f>
        <v>2</v>
      </c>
      <c r="L40" s="60">
        <f>L50</f>
        <v>505.06</v>
      </c>
      <c r="M40" s="60">
        <f>ROUND(K40*L40,2)</f>
        <v>1010.12</v>
      </c>
    </row>
    <row r="41" spans="1:13" ht="56.25">
      <c r="A41" s="39"/>
      <c r="B41" s="39"/>
      <c r="C41" s="39"/>
      <c r="D41" s="36" t="s">
        <v>464</v>
      </c>
      <c r="E41" s="36"/>
      <c r="F41" s="36"/>
      <c r="G41" s="36"/>
      <c r="H41" s="36"/>
      <c r="I41" s="36"/>
      <c r="J41" s="36"/>
      <c r="K41" s="36"/>
      <c r="L41" s="36"/>
      <c r="M41" s="36"/>
    </row>
    <row r="42" spans="1:13">
      <c r="A42" s="39"/>
      <c r="B42" s="39"/>
      <c r="C42" s="39"/>
      <c r="D42" s="39"/>
      <c r="E42" s="40"/>
      <c r="F42" s="41" t="s">
        <v>434</v>
      </c>
      <c r="G42" s="41" t="s">
        <v>435</v>
      </c>
      <c r="H42" s="41" t="s">
        <v>436</v>
      </c>
      <c r="I42" s="41" t="s">
        <v>437</v>
      </c>
      <c r="J42" s="41" t="s">
        <v>438</v>
      </c>
      <c r="K42" s="41" t="s">
        <v>439</v>
      </c>
      <c r="L42" s="39"/>
      <c r="M42" s="39"/>
    </row>
    <row r="43" spans="1:13">
      <c r="A43" s="39"/>
      <c r="B43" s="39"/>
      <c r="C43" s="39"/>
      <c r="D43" s="42"/>
      <c r="E43" s="43" t="s">
        <v>816</v>
      </c>
      <c r="F43" s="44">
        <v>1</v>
      </c>
      <c r="G43" s="45"/>
      <c r="H43" s="45"/>
      <c r="I43" s="45"/>
      <c r="J43" s="46">
        <f>ROUND(F43,3)</f>
        <v>1</v>
      </c>
      <c r="K43" s="48"/>
      <c r="L43" s="39"/>
      <c r="M43" s="39"/>
    </row>
    <row r="44" spans="1:13">
      <c r="A44" s="39"/>
      <c r="B44" s="39"/>
      <c r="C44" s="39"/>
      <c r="D44" s="42"/>
      <c r="E44" s="35" t="s">
        <v>817</v>
      </c>
      <c r="F44" s="49">
        <v>1</v>
      </c>
      <c r="G44" s="37"/>
      <c r="H44" s="37"/>
      <c r="I44" s="37"/>
      <c r="J44" s="50">
        <f>ROUND(F44,3)</f>
        <v>1</v>
      </c>
      <c r="K44" s="51">
        <f>SUM(J43:J44)</f>
        <v>2</v>
      </c>
      <c r="L44" s="39"/>
      <c r="M44" s="39"/>
    </row>
    <row r="45" spans="1:13" ht="22.5">
      <c r="A45" s="35" t="s">
        <v>466</v>
      </c>
      <c r="B45" s="35" t="s">
        <v>451</v>
      </c>
      <c r="C45" s="35" t="s">
        <v>422</v>
      </c>
      <c r="D45" s="36" t="s">
        <v>467</v>
      </c>
      <c r="E45" s="36"/>
      <c r="F45" s="36"/>
      <c r="G45" s="36"/>
      <c r="H45" s="36"/>
      <c r="I45" s="36"/>
      <c r="J45" s="36"/>
      <c r="K45" s="37">
        <v>1</v>
      </c>
      <c r="L45" s="37">
        <f>ROUND(438.81,3)</f>
        <v>438.81</v>
      </c>
      <c r="M45" s="38">
        <f>ROUND(K45*L45,2)</f>
        <v>438.81</v>
      </c>
    </row>
    <row r="46" spans="1:13" ht="22.5">
      <c r="A46" s="35" t="s">
        <v>468</v>
      </c>
      <c r="B46" s="35" t="s">
        <v>451</v>
      </c>
      <c r="C46" s="35" t="s">
        <v>422</v>
      </c>
      <c r="D46" s="36" t="s">
        <v>469</v>
      </c>
      <c r="E46" s="36"/>
      <c r="F46" s="36"/>
      <c r="G46" s="36"/>
      <c r="H46" s="36"/>
      <c r="I46" s="36"/>
      <c r="J46" s="36"/>
      <c r="K46" s="37">
        <v>1</v>
      </c>
      <c r="L46" s="37">
        <f>ROUND(1.4,3)</f>
        <v>1.4</v>
      </c>
      <c r="M46" s="38">
        <f>ROUND(K46*L46,2)</f>
        <v>1.4</v>
      </c>
    </row>
    <row r="47" spans="1:13">
      <c r="A47" s="35" t="s">
        <v>470</v>
      </c>
      <c r="B47" s="35" t="s">
        <v>455</v>
      </c>
      <c r="C47" s="35" t="s">
        <v>456</v>
      </c>
      <c r="D47" s="36" t="s">
        <v>471</v>
      </c>
      <c r="E47" s="36"/>
      <c r="F47" s="36"/>
      <c r="G47" s="36"/>
      <c r="H47" s="36"/>
      <c r="I47" s="36"/>
      <c r="J47" s="36"/>
      <c r="K47" s="37">
        <v>1.079</v>
      </c>
      <c r="L47" s="37">
        <f>ROUND(20.33,3)</f>
        <v>20.329999999999998</v>
      </c>
      <c r="M47" s="38">
        <f>ROUND(K47*L47,2)</f>
        <v>21.94</v>
      </c>
    </row>
    <row r="48" spans="1:13">
      <c r="A48" s="35" t="s">
        <v>472</v>
      </c>
      <c r="B48" s="35" t="s">
        <v>455</v>
      </c>
      <c r="C48" s="35" t="s">
        <v>456</v>
      </c>
      <c r="D48" s="36" t="s">
        <v>473</v>
      </c>
      <c r="E48" s="36"/>
      <c r="F48" s="36"/>
      <c r="G48" s="36"/>
      <c r="H48" s="36"/>
      <c r="I48" s="36"/>
      <c r="J48" s="36"/>
      <c r="K48" s="37">
        <v>0.53900000000000003</v>
      </c>
      <c r="L48" s="37">
        <f>ROUND(17.32,3)</f>
        <v>17.32</v>
      </c>
      <c r="M48" s="38">
        <f>ROUND(K48*L48,2)</f>
        <v>9.34</v>
      </c>
    </row>
    <row r="49" spans="1:13">
      <c r="A49" s="35" t="s">
        <v>460</v>
      </c>
      <c r="B49" s="35"/>
      <c r="C49" s="35" t="s">
        <v>460</v>
      </c>
      <c r="D49" s="36" t="s">
        <v>461</v>
      </c>
      <c r="E49" s="36"/>
      <c r="F49" s="36"/>
      <c r="G49" s="36"/>
      <c r="H49" s="36"/>
      <c r="I49" s="36"/>
      <c r="J49" s="36"/>
      <c r="K49" s="37">
        <v>4</v>
      </c>
      <c r="L49" s="37">
        <f>ROUND(471.49,3)</f>
        <v>471.49</v>
      </c>
      <c r="M49" s="38">
        <f>ROUND((K49*L49)/100,2)</f>
        <v>18.86</v>
      </c>
    </row>
    <row r="50" spans="1:13">
      <c r="A50" s="52"/>
      <c r="B50" s="52"/>
      <c r="C50" s="52"/>
      <c r="D50" s="53" t="s">
        <v>462</v>
      </c>
      <c r="E50" s="52"/>
      <c r="F50" s="52"/>
      <c r="G50" s="52"/>
      <c r="H50" s="52"/>
      <c r="I50" s="52"/>
      <c r="J50" s="52"/>
      <c r="K50" s="54">
        <v>2</v>
      </c>
      <c r="L50" s="55">
        <f>ROUND((M45+M46+M47+M48+M49)*(1+M2/100),2)</f>
        <v>505.06</v>
      </c>
      <c r="M50" s="55">
        <f>ROUND(K50*L50,2)</f>
        <v>1010.12</v>
      </c>
    </row>
    <row r="51" spans="1:13">
      <c r="A51" s="56" t="s">
        <v>474</v>
      </c>
      <c r="B51" s="57" t="s">
        <v>431</v>
      </c>
      <c r="C51" s="57" t="s">
        <v>422</v>
      </c>
      <c r="D51" s="58" t="s">
        <v>475</v>
      </c>
      <c r="E51" s="58"/>
      <c r="F51" s="58"/>
      <c r="G51" s="58"/>
      <c r="H51" s="58"/>
      <c r="I51" s="58"/>
      <c r="J51" s="58"/>
      <c r="K51" s="59">
        <f>SUM(K54:K57)</f>
        <v>6</v>
      </c>
      <c r="L51" s="60">
        <f>L63</f>
        <v>14.88</v>
      </c>
      <c r="M51" s="60">
        <f>ROUND(K51*L51,2)</f>
        <v>89.28</v>
      </c>
    </row>
    <row r="52" spans="1:13" ht="56.25">
      <c r="A52" s="39"/>
      <c r="B52" s="39"/>
      <c r="C52" s="39"/>
      <c r="D52" s="36" t="s">
        <v>476</v>
      </c>
      <c r="E52" s="36"/>
      <c r="F52" s="36"/>
      <c r="G52" s="36"/>
      <c r="H52" s="36"/>
      <c r="I52" s="36"/>
      <c r="J52" s="36"/>
      <c r="K52" s="36"/>
      <c r="L52" s="36"/>
      <c r="M52" s="36"/>
    </row>
    <row r="53" spans="1:13">
      <c r="A53" s="39"/>
      <c r="B53" s="39"/>
      <c r="C53" s="39"/>
      <c r="D53" s="39"/>
      <c r="E53" s="40"/>
      <c r="F53" s="41" t="s">
        <v>434</v>
      </c>
      <c r="G53" s="41" t="s">
        <v>435</v>
      </c>
      <c r="H53" s="41" t="s">
        <v>436</v>
      </c>
      <c r="I53" s="41" t="s">
        <v>437</v>
      </c>
      <c r="J53" s="41" t="s">
        <v>438</v>
      </c>
      <c r="K53" s="41" t="s">
        <v>439</v>
      </c>
      <c r="L53" s="39"/>
      <c r="M53" s="39"/>
    </row>
    <row r="54" spans="1:13" ht="22.5">
      <c r="A54" s="39"/>
      <c r="B54" s="39"/>
      <c r="C54" s="39"/>
      <c r="D54" s="42"/>
      <c r="E54" s="43" t="s">
        <v>814</v>
      </c>
      <c r="F54" s="44">
        <v>2</v>
      </c>
      <c r="G54" s="45"/>
      <c r="H54" s="45"/>
      <c r="I54" s="45"/>
      <c r="J54" s="46">
        <f>ROUND(F54,3)</f>
        <v>2</v>
      </c>
      <c r="K54" s="48"/>
      <c r="L54" s="39"/>
      <c r="M54" s="39"/>
    </row>
    <row r="55" spans="1:13" ht="22.5">
      <c r="A55" s="39"/>
      <c r="B55" s="39"/>
      <c r="C55" s="39"/>
      <c r="D55" s="42"/>
      <c r="E55" s="35" t="s">
        <v>815</v>
      </c>
      <c r="F55" s="49">
        <v>2</v>
      </c>
      <c r="G55" s="37"/>
      <c r="H55" s="37"/>
      <c r="I55" s="37"/>
      <c r="J55" s="50">
        <f>ROUND(F55,3)</f>
        <v>2</v>
      </c>
      <c r="K55" s="39"/>
      <c r="L55" s="39"/>
      <c r="M55" s="39"/>
    </row>
    <row r="56" spans="1:13" ht="22.5">
      <c r="A56" s="39"/>
      <c r="B56" s="39"/>
      <c r="C56" s="39"/>
      <c r="D56" s="42"/>
      <c r="E56" s="35" t="s">
        <v>818</v>
      </c>
      <c r="F56" s="49">
        <v>1</v>
      </c>
      <c r="G56" s="37"/>
      <c r="H56" s="37"/>
      <c r="I56" s="37"/>
      <c r="J56" s="50">
        <f>ROUND(F56,3)</f>
        <v>1</v>
      </c>
      <c r="K56" s="39"/>
      <c r="L56" s="39"/>
      <c r="M56" s="39"/>
    </row>
    <row r="57" spans="1:13" ht="22.5">
      <c r="A57" s="39"/>
      <c r="B57" s="39"/>
      <c r="C57" s="39"/>
      <c r="D57" s="42"/>
      <c r="E57" s="35" t="s">
        <v>819</v>
      </c>
      <c r="F57" s="49">
        <v>1</v>
      </c>
      <c r="G57" s="37"/>
      <c r="H57" s="37"/>
      <c r="I57" s="37"/>
      <c r="J57" s="50">
        <f>ROUND(F57,3)</f>
        <v>1</v>
      </c>
      <c r="K57" s="51">
        <f>SUM(J54:J57)</f>
        <v>6</v>
      </c>
      <c r="L57" s="39"/>
      <c r="M57" s="39"/>
    </row>
    <row r="58" spans="1:13">
      <c r="A58" s="35" t="s">
        <v>478</v>
      </c>
      <c r="B58" s="35" t="s">
        <v>451</v>
      </c>
      <c r="C58" s="35" t="s">
        <v>422</v>
      </c>
      <c r="D58" s="36" t="s">
        <v>475</v>
      </c>
      <c r="E58" s="36"/>
      <c r="F58" s="36"/>
      <c r="G58" s="36"/>
      <c r="H58" s="36"/>
      <c r="I58" s="36"/>
      <c r="J58" s="36"/>
      <c r="K58" s="37">
        <v>1</v>
      </c>
      <c r="L58" s="37">
        <f>ROUND(9.81,3)</f>
        <v>9.81</v>
      </c>
      <c r="M58" s="38">
        <f>ROUND(K58*L58,2)</f>
        <v>9.81</v>
      </c>
    </row>
    <row r="59" spans="1:13" ht="22.5">
      <c r="A59" s="35" t="s">
        <v>452</v>
      </c>
      <c r="B59" s="35" t="s">
        <v>451</v>
      </c>
      <c r="C59" s="35" t="s">
        <v>422</v>
      </c>
      <c r="D59" s="36" t="s">
        <v>453</v>
      </c>
      <c r="E59" s="36"/>
      <c r="F59" s="36"/>
      <c r="G59" s="36"/>
      <c r="H59" s="36"/>
      <c r="I59" s="36"/>
      <c r="J59" s="36"/>
      <c r="K59" s="37">
        <v>0.1</v>
      </c>
      <c r="L59" s="37">
        <f>ROUND(2.1,3)</f>
        <v>2.1</v>
      </c>
      <c r="M59" s="38">
        <f>ROUND(K59*L59,2)</f>
        <v>0.21</v>
      </c>
    </row>
    <row r="60" spans="1:13">
      <c r="A60" s="35" t="s">
        <v>454</v>
      </c>
      <c r="B60" s="35" t="s">
        <v>455</v>
      </c>
      <c r="C60" s="35" t="s">
        <v>456</v>
      </c>
      <c r="D60" s="36" t="s">
        <v>457</v>
      </c>
      <c r="E60" s="36"/>
      <c r="F60" s="36"/>
      <c r="G60" s="36"/>
      <c r="H60" s="36"/>
      <c r="I60" s="36"/>
      <c r="J60" s="36"/>
      <c r="K60" s="37">
        <v>0.11</v>
      </c>
      <c r="L60" s="37">
        <f>ROUND(20.33,3)</f>
        <v>20.329999999999998</v>
      </c>
      <c r="M60" s="38">
        <f>ROUND(K60*L60,2)</f>
        <v>2.2400000000000002</v>
      </c>
    </row>
    <row r="61" spans="1:13">
      <c r="A61" s="35" t="s">
        <v>458</v>
      </c>
      <c r="B61" s="35" t="s">
        <v>455</v>
      </c>
      <c r="C61" s="35" t="s">
        <v>456</v>
      </c>
      <c r="D61" s="36" t="s">
        <v>459</v>
      </c>
      <c r="E61" s="36"/>
      <c r="F61" s="36"/>
      <c r="G61" s="36"/>
      <c r="H61" s="36"/>
      <c r="I61" s="36"/>
      <c r="J61" s="36"/>
      <c r="K61" s="37">
        <v>0.11</v>
      </c>
      <c r="L61" s="37">
        <f>ROUND(17.32,3)</f>
        <v>17.32</v>
      </c>
      <c r="M61" s="38">
        <f>ROUND(K61*L61,2)</f>
        <v>1.91</v>
      </c>
    </row>
    <row r="62" spans="1:13">
      <c r="A62" s="35" t="s">
        <v>460</v>
      </c>
      <c r="B62" s="35"/>
      <c r="C62" s="35" t="s">
        <v>460</v>
      </c>
      <c r="D62" s="36" t="s">
        <v>461</v>
      </c>
      <c r="E62" s="36"/>
      <c r="F62" s="36"/>
      <c r="G62" s="36"/>
      <c r="H62" s="36"/>
      <c r="I62" s="36"/>
      <c r="J62" s="36"/>
      <c r="K62" s="37">
        <v>2</v>
      </c>
      <c r="L62" s="37">
        <f>ROUND(14.17,3)</f>
        <v>14.17</v>
      </c>
      <c r="M62" s="38">
        <f>ROUND((K62*L62)/100,2)</f>
        <v>0.28000000000000003</v>
      </c>
    </row>
    <row r="63" spans="1:13">
      <c r="A63" s="52"/>
      <c r="B63" s="52"/>
      <c r="C63" s="52"/>
      <c r="D63" s="53" t="s">
        <v>474</v>
      </c>
      <c r="E63" s="52"/>
      <c r="F63" s="52"/>
      <c r="G63" s="52"/>
      <c r="H63" s="52"/>
      <c r="I63" s="52"/>
      <c r="J63" s="52"/>
      <c r="K63" s="54">
        <v>6</v>
      </c>
      <c r="L63" s="55">
        <f>ROUND((M58+M59+M60+M61+M62)*(1+M2/100),2)</f>
        <v>14.88</v>
      </c>
      <c r="M63" s="55">
        <f>ROUND(K63*L63,2)</f>
        <v>89.28</v>
      </c>
    </row>
    <row r="64" spans="1:13">
      <c r="A64" s="56" t="s">
        <v>479</v>
      </c>
      <c r="B64" s="57" t="s">
        <v>431</v>
      </c>
      <c r="C64" s="57" t="s">
        <v>422</v>
      </c>
      <c r="D64" s="58" t="s">
        <v>480</v>
      </c>
      <c r="E64" s="58"/>
      <c r="F64" s="58"/>
      <c r="G64" s="58"/>
      <c r="H64" s="58"/>
      <c r="I64" s="58"/>
      <c r="J64" s="58"/>
      <c r="K64" s="59">
        <f>SUM(K67:K68)</f>
        <v>2</v>
      </c>
      <c r="L64" s="60">
        <f>L74</f>
        <v>38.25</v>
      </c>
      <c r="M64" s="60">
        <f>ROUND(K64*L64,2)</f>
        <v>76.5</v>
      </c>
    </row>
    <row r="65" spans="1:13" ht="56.25">
      <c r="A65" s="39"/>
      <c r="B65" s="39"/>
      <c r="C65" s="39"/>
      <c r="D65" s="36" t="s">
        <v>481</v>
      </c>
      <c r="E65" s="36"/>
      <c r="F65" s="36"/>
      <c r="G65" s="36"/>
      <c r="H65" s="36"/>
      <c r="I65" s="36"/>
      <c r="J65" s="36"/>
      <c r="K65" s="36"/>
      <c r="L65" s="36"/>
      <c r="M65" s="36"/>
    </row>
    <row r="66" spans="1:13">
      <c r="A66" s="39"/>
      <c r="B66" s="39"/>
      <c r="C66" s="39"/>
      <c r="D66" s="39"/>
      <c r="E66" s="40"/>
      <c r="F66" s="41" t="s">
        <v>434</v>
      </c>
      <c r="G66" s="41" t="s">
        <v>435</v>
      </c>
      <c r="H66" s="41" t="s">
        <v>436</v>
      </c>
      <c r="I66" s="41" t="s">
        <v>437</v>
      </c>
      <c r="J66" s="41" t="s">
        <v>438</v>
      </c>
      <c r="K66" s="41" t="s">
        <v>439</v>
      </c>
      <c r="L66" s="39"/>
      <c r="M66" s="39"/>
    </row>
    <row r="67" spans="1:13">
      <c r="A67" s="39"/>
      <c r="B67" s="39"/>
      <c r="C67" s="39"/>
      <c r="D67" s="42"/>
      <c r="E67" s="43" t="s">
        <v>820</v>
      </c>
      <c r="F67" s="44">
        <v>1</v>
      </c>
      <c r="G67" s="45"/>
      <c r="H67" s="45"/>
      <c r="I67" s="45"/>
      <c r="J67" s="46">
        <f>ROUND(F67,3)</f>
        <v>1</v>
      </c>
      <c r="K67" s="48"/>
      <c r="L67" s="39"/>
      <c r="M67" s="39"/>
    </row>
    <row r="68" spans="1:13">
      <c r="A68" s="39"/>
      <c r="B68" s="39"/>
      <c r="C68" s="39"/>
      <c r="D68" s="42"/>
      <c r="E68" s="35" t="s">
        <v>821</v>
      </c>
      <c r="F68" s="49">
        <v>1</v>
      </c>
      <c r="G68" s="37"/>
      <c r="H68" s="37"/>
      <c r="I68" s="37"/>
      <c r="J68" s="50">
        <f>ROUND(F68,3)</f>
        <v>1</v>
      </c>
      <c r="K68" s="51">
        <f>SUM(J67:J68)</f>
        <v>2</v>
      </c>
      <c r="L68" s="39"/>
      <c r="M68" s="39"/>
    </row>
    <row r="69" spans="1:13">
      <c r="A69" s="35" t="s">
        <v>483</v>
      </c>
      <c r="B69" s="35" t="s">
        <v>451</v>
      </c>
      <c r="C69" s="35" t="s">
        <v>422</v>
      </c>
      <c r="D69" s="36" t="s">
        <v>480</v>
      </c>
      <c r="E69" s="36"/>
      <c r="F69" s="36"/>
      <c r="G69" s="36"/>
      <c r="H69" s="36"/>
      <c r="I69" s="36"/>
      <c r="J69" s="36"/>
      <c r="K69" s="37">
        <v>1</v>
      </c>
      <c r="L69" s="37">
        <f>ROUND(32.05,3)</f>
        <v>32.049999999999997</v>
      </c>
      <c r="M69" s="38">
        <f>ROUND(K69*L69,2)</f>
        <v>32.049999999999997</v>
      </c>
    </row>
    <row r="70" spans="1:13" ht="22.5">
      <c r="A70" s="35" t="s">
        <v>452</v>
      </c>
      <c r="B70" s="35" t="s">
        <v>451</v>
      </c>
      <c r="C70" s="35" t="s">
        <v>422</v>
      </c>
      <c r="D70" s="36" t="s">
        <v>453</v>
      </c>
      <c r="E70" s="36"/>
      <c r="F70" s="36"/>
      <c r="G70" s="36"/>
      <c r="H70" s="36"/>
      <c r="I70" s="36"/>
      <c r="J70" s="36"/>
      <c r="K70" s="37">
        <v>0.1</v>
      </c>
      <c r="L70" s="37">
        <f>ROUND(2.1,3)</f>
        <v>2.1</v>
      </c>
      <c r="M70" s="38">
        <f>ROUND(K70*L70,2)</f>
        <v>0.21</v>
      </c>
    </row>
    <row r="71" spans="1:13">
      <c r="A71" s="35" t="s">
        <v>454</v>
      </c>
      <c r="B71" s="35" t="s">
        <v>455</v>
      </c>
      <c r="C71" s="35" t="s">
        <v>456</v>
      </c>
      <c r="D71" s="36" t="s">
        <v>457</v>
      </c>
      <c r="E71" s="36"/>
      <c r="F71" s="36"/>
      <c r="G71" s="36"/>
      <c r="H71" s="36"/>
      <c r="I71" s="36"/>
      <c r="J71" s="36"/>
      <c r="K71" s="37">
        <v>0.11</v>
      </c>
      <c r="L71" s="37">
        <f>ROUND(20.33,3)</f>
        <v>20.329999999999998</v>
      </c>
      <c r="M71" s="38">
        <f>ROUND(K71*L71,2)</f>
        <v>2.2400000000000002</v>
      </c>
    </row>
    <row r="72" spans="1:13">
      <c r="A72" s="35" t="s">
        <v>458</v>
      </c>
      <c r="B72" s="35" t="s">
        <v>455</v>
      </c>
      <c r="C72" s="35" t="s">
        <v>456</v>
      </c>
      <c r="D72" s="36" t="s">
        <v>459</v>
      </c>
      <c r="E72" s="36"/>
      <c r="F72" s="36"/>
      <c r="G72" s="36"/>
      <c r="H72" s="36"/>
      <c r="I72" s="36"/>
      <c r="J72" s="36"/>
      <c r="K72" s="37">
        <v>0.11</v>
      </c>
      <c r="L72" s="37">
        <f>ROUND(17.32,3)</f>
        <v>17.32</v>
      </c>
      <c r="M72" s="38">
        <f>ROUND(K72*L72,2)</f>
        <v>1.91</v>
      </c>
    </row>
    <row r="73" spans="1:13">
      <c r="A73" s="35" t="s">
        <v>460</v>
      </c>
      <c r="B73" s="35"/>
      <c r="C73" s="35" t="s">
        <v>460</v>
      </c>
      <c r="D73" s="36" t="s">
        <v>461</v>
      </c>
      <c r="E73" s="36"/>
      <c r="F73" s="36"/>
      <c r="G73" s="36"/>
      <c r="H73" s="36"/>
      <c r="I73" s="36"/>
      <c r="J73" s="36"/>
      <c r="K73" s="37">
        <v>2</v>
      </c>
      <c r="L73" s="37">
        <f>ROUND(36.41,3)</f>
        <v>36.409999999999997</v>
      </c>
      <c r="M73" s="38">
        <f>ROUND((K73*L73)/100,2)</f>
        <v>0.73</v>
      </c>
    </row>
    <row r="74" spans="1:13">
      <c r="A74" s="52"/>
      <c r="B74" s="52"/>
      <c r="C74" s="52"/>
      <c r="D74" s="53" t="s">
        <v>479</v>
      </c>
      <c r="E74" s="52"/>
      <c r="F74" s="52"/>
      <c r="G74" s="52"/>
      <c r="H74" s="52"/>
      <c r="I74" s="52"/>
      <c r="J74" s="52"/>
      <c r="K74" s="54">
        <v>2</v>
      </c>
      <c r="L74" s="55">
        <f>ROUND((M69+M70+M71+M72+M73)*(1+M2/100),2)</f>
        <v>38.25</v>
      </c>
      <c r="M74" s="55">
        <f>ROUND(K74*L74,2)</f>
        <v>76.5</v>
      </c>
    </row>
    <row r="75" spans="1:13">
      <c r="A75" s="56" t="s">
        <v>484</v>
      </c>
      <c r="B75" s="57" t="s">
        <v>431</v>
      </c>
      <c r="C75" s="57" t="s">
        <v>422</v>
      </c>
      <c r="D75" s="58" t="s">
        <v>485</v>
      </c>
      <c r="E75" s="58"/>
      <c r="F75" s="58"/>
      <c r="G75" s="58"/>
      <c r="H75" s="58"/>
      <c r="I75" s="58"/>
      <c r="J75" s="58"/>
      <c r="K75" s="59">
        <f>SUM(K78:K79)</f>
        <v>2</v>
      </c>
      <c r="L75" s="60">
        <f>L88</f>
        <v>160.87</v>
      </c>
      <c r="M75" s="60">
        <f>ROUND(K75*L75,2)</f>
        <v>321.74</v>
      </c>
    </row>
    <row r="76" spans="1:13" ht="67.5">
      <c r="A76" s="39"/>
      <c r="B76" s="39"/>
      <c r="C76" s="39"/>
      <c r="D76" s="36" t="s">
        <v>486</v>
      </c>
      <c r="E76" s="36"/>
      <c r="F76" s="36"/>
      <c r="G76" s="36"/>
      <c r="H76" s="36"/>
      <c r="I76" s="36"/>
      <c r="J76" s="36"/>
      <c r="K76" s="36"/>
      <c r="L76" s="36"/>
      <c r="M76" s="36"/>
    </row>
    <row r="77" spans="1:13">
      <c r="A77" s="39"/>
      <c r="B77" s="39"/>
      <c r="C77" s="39"/>
      <c r="D77" s="39"/>
      <c r="E77" s="40"/>
      <c r="F77" s="41" t="s">
        <v>434</v>
      </c>
      <c r="G77" s="41" t="s">
        <v>435</v>
      </c>
      <c r="H77" s="41" t="s">
        <v>436</v>
      </c>
      <c r="I77" s="41" t="s">
        <v>437</v>
      </c>
      <c r="J77" s="41" t="s">
        <v>438</v>
      </c>
      <c r="K77" s="41" t="s">
        <v>439</v>
      </c>
      <c r="L77" s="39"/>
      <c r="M77" s="39"/>
    </row>
    <row r="78" spans="1:13" ht="22.5">
      <c r="A78" s="39"/>
      <c r="B78" s="39"/>
      <c r="C78" s="39"/>
      <c r="D78" s="42"/>
      <c r="E78" s="43" t="s">
        <v>814</v>
      </c>
      <c r="F78" s="44">
        <v>1</v>
      </c>
      <c r="G78" s="45"/>
      <c r="H78" s="45"/>
      <c r="I78" s="45"/>
      <c r="J78" s="46">
        <f>ROUND(F78,3)</f>
        <v>1</v>
      </c>
      <c r="K78" s="48"/>
      <c r="L78" s="39"/>
      <c r="M78" s="39"/>
    </row>
    <row r="79" spans="1:13" ht="22.5">
      <c r="A79" s="39"/>
      <c r="B79" s="39"/>
      <c r="C79" s="39"/>
      <c r="D79" s="42"/>
      <c r="E79" s="35" t="s">
        <v>815</v>
      </c>
      <c r="F79" s="49">
        <v>1</v>
      </c>
      <c r="G79" s="37"/>
      <c r="H79" s="37"/>
      <c r="I79" s="37"/>
      <c r="J79" s="50">
        <f>ROUND(F79,3)</f>
        <v>1</v>
      </c>
      <c r="K79" s="51">
        <f>SUM(J78:J79)</f>
        <v>2</v>
      </c>
      <c r="L79" s="39"/>
      <c r="M79" s="39"/>
    </row>
    <row r="80" spans="1:13" ht="22.5">
      <c r="A80" s="35" t="s">
        <v>487</v>
      </c>
      <c r="B80" s="35" t="s">
        <v>451</v>
      </c>
      <c r="C80" s="35" t="s">
        <v>422</v>
      </c>
      <c r="D80" s="36" t="s">
        <v>488</v>
      </c>
      <c r="E80" s="36"/>
      <c r="F80" s="36"/>
      <c r="G80" s="36"/>
      <c r="H80" s="36"/>
      <c r="I80" s="36"/>
      <c r="J80" s="36"/>
      <c r="K80" s="37">
        <v>1</v>
      </c>
      <c r="L80" s="37">
        <f>ROUND(124.13,3)</f>
        <v>124.13</v>
      </c>
      <c r="M80" s="38">
        <f t="shared" ref="M80:M86" si="0">ROUND(K80*L80,2)</f>
        <v>124.13</v>
      </c>
    </row>
    <row r="81" spans="1:13" ht="45">
      <c r="A81" s="35" t="s">
        <v>489</v>
      </c>
      <c r="B81" s="35" t="s">
        <v>451</v>
      </c>
      <c r="C81" s="35" t="s">
        <v>56</v>
      </c>
      <c r="D81" s="36" t="s">
        <v>490</v>
      </c>
      <c r="E81" s="36"/>
      <c r="F81" s="36"/>
      <c r="G81" s="36"/>
      <c r="H81" s="36"/>
      <c r="I81" s="36"/>
      <c r="J81" s="36"/>
      <c r="K81" s="37">
        <v>5</v>
      </c>
      <c r="L81" s="37">
        <f>ROUND(0.85,3)</f>
        <v>0.85</v>
      </c>
      <c r="M81" s="38">
        <f t="shared" si="0"/>
        <v>4.25</v>
      </c>
    </row>
    <row r="82" spans="1:13" ht="33.75">
      <c r="A82" s="35" t="s">
        <v>491</v>
      </c>
      <c r="B82" s="35" t="s">
        <v>451</v>
      </c>
      <c r="C82" s="35" t="s">
        <v>56</v>
      </c>
      <c r="D82" s="36" t="s">
        <v>492</v>
      </c>
      <c r="E82" s="36"/>
      <c r="F82" s="36"/>
      <c r="G82" s="36"/>
      <c r="H82" s="36"/>
      <c r="I82" s="36"/>
      <c r="J82" s="36"/>
      <c r="K82" s="37">
        <v>10</v>
      </c>
      <c r="L82" s="37">
        <f>ROUND(0.41,3)</f>
        <v>0.41</v>
      </c>
      <c r="M82" s="38">
        <f t="shared" si="0"/>
        <v>4.0999999999999996</v>
      </c>
    </row>
    <row r="83" spans="1:13">
      <c r="A83" s="35" t="s">
        <v>470</v>
      </c>
      <c r="B83" s="35" t="s">
        <v>455</v>
      </c>
      <c r="C83" s="35" t="s">
        <v>456</v>
      </c>
      <c r="D83" s="36" t="s">
        <v>471</v>
      </c>
      <c r="E83" s="36"/>
      <c r="F83" s="36"/>
      <c r="G83" s="36"/>
      <c r="H83" s="36"/>
      <c r="I83" s="36"/>
      <c r="J83" s="36"/>
      <c r="K83" s="37">
        <v>0.27400000000000002</v>
      </c>
      <c r="L83" s="37">
        <f>ROUND(20.33,3)</f>
        <v>20.329999999999998</v>
      </c>
      <c r="M83" s="38">
        <f t="shared" si="0"/>
        <v>5.57</v>
      </c>
    </row>
    <row r="84" spans="1:13">
      <c r="A84" s="35" t="s">
        <v>472</v>
      </c>
      <c r="B84" s="35" t="s">
        <v>455</v>
      </c>
      <c r="C84" s="35" t="s">
        <v>456</v>
      </c>
      <c r="D84" s="36" t="s">
        <v>473</v>
      </c>
      <c r="E84" s="36"/>
      <c r="F84" s="36"/>
      <c r="G84" s="36"/>
      <c r="H84" s="36"/>
      <c r="I84" s="36"/>
      <c r="J84" s="36"/>
      <c r="K84" s="37">
        <v>0.27400000000000002</v>
      </c>
      <c r="L84" s="37">
        <f>ROUND(17.32,3)</f>
        <v>17.32</v>
      </c>
      <c r="M84" s="38">
        <f t="shared" si="0"/>
        <v>4.75</v>
      </c>
    </row>
    <row r="85" spans="1:13">
      <c r="A85" s="35" t="s">
        <v>493</v>
      </c>
      <c r="B85" s="35" t="s">
        <v>455</v>
      </c>
      <c r="C85" s="35" t="s">
        <v>456</v>
      </c>
      <c r="D85" s="36" t="s">
        <v>494</v>
      </c>
      <c r="E85" s="36"/>
      <c r="F85" s="36"/>
      <c r="G85" s="36"/>
      <c r="H85" s="36"/>
      <c r="I85" s="36"/>
      <c r="J85" s="36"/>
      <c r="K85" s="37">
        <v>0.27400000000000002</v>
      </c>
      <c r="L85" s="37">
        <f>ROUND(20.33,3)</f>
        <v>20.329999999999998</v>
      </c>
      <c r="M85" s="38">
        <f t="shared" si="0"/>
        <v>5.57</v>
      </c>
    </row>
    <row r="86" spans="1:13">
      <c r="A86" s="35" t="s">
        <v>495</v>
      </c>
      <c r="B86" s="35" t="s">
        <v>455</v>
      </c>
      <c r="C86" s="35" t="s">
        <v>456</v>
      </c>
      <c r="D86" s="36" t="s">
        <v>496</v>
      </c>
      <c r="E86" s="36"/>
      <c r="F86" s="36"/>
      <c r="G86" s="36"/>
      <c r="H86" s="36"/>
      <c r="I86" s="36"/>
      <c r="J86" s="36"/>
      <c r="K86" s="37">
        <v>0.27400000000000002</v>
      </c>
      <c r="L86" s="37">
        <f>ROUND(17.32,3)</f>
        <v>17.32</v>
      </c>
      <c r="M86" s="38">
        <f t="shared" si="0"/>
        <v>4.75</v>
      </c>
    </row>
    <row r="87" spans="1:13">
      <c r="A87" s="35" t="s">
        <v>460</v>
      </c>
      <c r="B87" s="35"/>
      <c r="C87" s="35" t="s">
        <v>460</v>
      </c>
      <c r="D87" s="36" t="s">
        <v>461</v>
      </c>
      <c r="E87" s="36"/>
      <c r="F87" s="36"/>
      <c r="G87" s="36"/>
      <c r="H87" s="36"/>
      <c r="I87" s="36"/>
      <c r="J87" s="36"/>
      <c r="K87" s="37">
        <v>2</v>
      </c>
      <c r="L87" s="37">
        <f>ROUND(153.12,3)</f>
        <v>153.12</v>
      </c>
      <c r="M87" s="38">
        <f>ROUND((K87*L87)/100,2)</f>
        <v>3.06</v>
      </c>
    </row>
    <row r="88" spans="1:13">
      <c r="A88" s="52"/>
      <c r="B88" s="52"/>
      <c r="C88" s="52"/>
      <c r="D88" s="53" t="s">
        <v>484</v>
      </c>
      <c r="E88" s="52"/>
      <c r="F88" s="52"/>
      <c r="G88" s="52"/>
      <c r="H88" s="52"/>
      <c r="I88" s="52"/>
      <c r="J88" s="52"/>
      <c r="K88" s="54">
        <v>2</v>
      </c>
      <c r="L88" s="55">
        <f>ROUND((M80+M81+M82+M83+M84+M85+M86+M87)*(1+M2/100),2)</f>
        <v>160.87</v>
      </c>
      <c r="M88" s="55">
        <f>ROUND(K88*L88,2)</f>
        <v>321.74</v>
      </c>
    </row>
    <row r="89" spans="1:13">
      <c r="A89" s="56" t="s">
        <v>497</v>
      </c>
      <c r="B89" s="57" t="s">
        <v>431</v>
      </c>
      <c r="C89" s="57" t="s">
        <v>422</v>
      </c>
      <c r="D89" s="58" t="s">
        <v>498</v>
      </c>
      <c r="E89" s="58"/>
      <c r="F89" s="58"/>
      <c r="G89" s="58"/>
      <c r="H89" s="58"/>
      <c r="I89" s="58"/>
      <c r="J89" s="58"/>
      <c r="K89" s="59">
        <f>SUM(K92:K93)</f>
        <v>2</v>
      </c>
      <c r="L89" s="60">
        <f>L99</f>
        <v>381.13</v>
      </c>
      <c r="M89" s="60">
        <f>ROUND(K89*L89,2)</f>
        <v>762.26</v>
      </c>
    </row>
    <row r="90" spans="1:13" ht="67.5">
      <c r="A90" s="39"/>
      <c r="B90" s="39"/>
      <c r="C90" s="39"/>
      <c r="D90" s="36" t="s">
        <v>499</v>
      </c>
      <c r="E90" s="36"/>
      <c r="F90" s="36"/>
      <c r="G90" s="36"/>
      <c r="H90" s="36"/>
      <c r="I90" s="36"/>
      <c r="J90" s="36"/>
      <c r="K90" s="36"/>
      <c r="L90" s="36"/>
      <c r="M90" s="36"/>
    </row>
    <row r="91" spans="1:13">
      <c r="A91" s="39"/>
      <c r="B91" s="39"/>
      <c r="C91" s="39"/>
      <c r="D91" s="39"/>
      <c r="E91" s="40"/>
      <c r="F91" s="41" t="s">
        <v>434</v>
      </c>
      <c r="G91" s="41" t="s">
        <v>435</v>
      </c>
      <c r="H91" s="41" t="s">
        <v>436</v>
      </c>
      <c r="I91" s="41" t="s">
        <v>437</v>
      </c>
      <c r="J91" s="41" t="s">
        <v>438</v>
      </c>
      <c r="K91" s="41" t="s">
        <v>439</v>
      </c>
      <c r="L91" s="39"/>
      <c r="M91" s="39"/>
    </row>
    <row r="92" spans="1:13">
      <c r="A92" s="39"/>
      <c r="B92" s="39"/>
      <c r="C92" s="39"/>
      <c r="D92" s="42"/>
      <c r="E92" s="43" t="s">
        <v>820</v>
      </c>
      <c r="F92" s="44">
        <v>1</v>
      </c>
      <c r="G92" s="45"/>
      <c r="H92" s="45"/>
      <c r="I92" s="45"/>
      <c r="J92" s="46">
        <f>ROUND(F92,3)</f>
        <v>1</v>
      </c>
      <c r="K92" s="48"/>
      <c r="L92" s="39"/>
      <c r="M92" s="39"/>
    </row>
    <row r="93" spans="1:13">
      <c r="A93" s="39"/>
      <c r="B93" s="39"/>
      <c r="C93" s="39"/>
      <c r="D93" s="42"/>
      <c r="E93" s="35" t="s">
        <v>821</v>
      </c>
      <c r="F93" s="49">
        <v>1</v>
      </c>
      <c r="G93" s="37"/>
      <c r="H93" s="37"/>
      <c r="I93" s="37"/>
      <c r="J93" s="50">
        <f>ROUND(F93,3)</f>
        <v>1</v>
      </c>
      <c r="K93" s="51">
        <f>SUM(J92:J93)</f>
        <v>2</v>
      </c>
      <c r="L93" s="39"/>
      <c r="M93" s="39"/>
    </row>
    <row r="94" spans="1:13" ht="22.5">
      <c r="A94" s="35" t="s">
        <v>500</v>
      </c>
      <c r="B94" s="35" t="s">
        <v>451</v>
      </c>
      <c r="C94" s="35" t="s">
        <v>422</v>
      </c>
      <c r="D94" s="36" t="s">
        <v>501</v>
      </c>
      <c r="E94" s="36"/>
      <c r="F94" s="36"/>
      <c r="G94" s="36"/>
      <c r="H94" s="36"/>
      <c r="I94" s="36"/>
      <c r="J94" s="36"/>
      <c r="K94" s="37">
        <v>1</v>
      </c>
      <c r="L94" s="37">
        <f>ROUND(358.41,3)</f>
        <v>358.41</v>
      </c>
      <c r="M94" s="38">
        <f>ROUND(K94*L94,2)</f>
        <v>358.41</v>
      </c>
    </row>
    <row r="95" spans="1:13" ht="22.5">
      <c r="A95" s="35" t="s">
        <v>452</v>
      </c>
      <c r="B95" s="35" t="s">
        <v>451</v>
      </c>
      <c r="C95" s="35" t="s">
        <v>422</v>
      </c>
      <c r="D95" s="36" t="s">
        <v>453</v>
      </c>
      <c r="E95" s="36"/>
      <c r="F95" s="36"/>
      <c r="G95" s="36"/>
      <c r="H95" s="36"/>
      <c r="I95" s="36"/>
      <c r="J95" s="36"/>
      <c r="K95" s="37">
        <v>0.1</v>
      </c>
      <c r="L95" s="37">
        <f>ROUND(2.1,3)</f>
        <v>2.1</v>
      </c>
      <c r="M95" s="38">
        <f>ROUND(K95*L95,2)</f>
        <v>0.21</v>
      </c>
    </row>
    <row r="96" spans="1:13">
      <c r="A96" s="35" t="s">
        <v>454</v>
      </c>
      <c r="B96" s="35" t="s">
        <v>455</v>
      </c>
      <c r="C96" s="35" t="s">
        <v>456</v>
      </c>
      <c r="D96" s="36" t="s">
        <v>457</v>
      </c>
      <c r="E96" s="36"/>
      <c r="F96" s="36"/>
      <c r="G96" s="36"/>
      <c r="H96" s="36"/>
      <c r="I96" s="36"/>
      <c r="J96" s="36"/>
      <c r="K96" s="37">
        <v>0.11</v>
      </c>
      <c r="L96" s="37">
        <f>ROUND(20.33,3)</f>
        <v>20.329999999999998</v>
      </c>
      <c r="M96" s="38">
        <f>ROUND(K96*L96,2)</f>
        <v>2.2400000000000002</v>
      </c>
    </row>
    <row r="97" spans="1:13">
      <c r="A97" s="35" t="s">
        <v>458</v>
      </c>
      <c r="B97" s="35" t="s">
        <v>455</v>
      </c>
      <c r="C97" s="35" t="s">
        <v>456</v>
      </c>
      <c r="D97" s="36" t="s">
        <v>459</v>
      </c>
      <c r="E97" s="36"/>
      <c r="F97" s="36"/>
      <c r="G97" s="36"/>
      <c r="H97" s="36"/>
      <c r="I97" s="36"/>
      <c r="J97" s="36"/>
      <c r="K97" s="37">
        <v>0.11</v>
      </c>
      <c r="L97" s="37">
        <f>ROUND(17.32,3)</f>
        <v>17.32</v>
      </c>
      <c r="M97" s="38">
        <f>ROUND(K97*L97,2)</f>
        <v>1.91</v>
      </c>
    </row>
    <row r="98" spans="1:13">
      <c r="A98" s="35" t="s">
        <v>460</v>
      </c>
      <c r="B98" s="35"/>
      <c r="C98" s="35" t="s">
        <v>460</v>
      </c>
      <c r="D98" s="36" t="s">
        <v>461</v>
      </c>
      <c r="E98" s="36"/>
      <c r="F98" s="36"/>
      <c r="G98" s="36"/>
      <c r="H98" s="36"/>
      <c r="I98" s="36"/>
      <c r="J98" s="36"/>
      <c r="K98" s="37">
        <v>2</v>
      </c>
      <c r="L98" s="37">
        <f>ROUND(362.77,3)</f>
        <v>362.77</v>
      </c>
      <c r="M98" s="38">
        <f>ROUND((K98*L98)/100,2)</f>
        <v>7.26</v>
      </c>
    </row>
    <row r="99" spans="1:13">
      <c r="A99" s="52"/>
      <c r="B99" s="52"/>
      <c r="C99" s="52"/>
      <c r="D99" s="53" t="s">
        <v>497</v>
      </c>
      <c r="E99" s="52"/>
      <c r="F99" s="52"/>
      <c r="G99" s="52"/>
      <c r="H99" s="52"/>
      <c r="I99" s="52"/>
      <c r="J99" s="52"/>
      <c r="K99" s="54">
        <v>2</v>
      </c>
      <c r="L99" s="55">
        <f>ROUND((M94+M95+M96+M97+M98)*(1+M2/100),2)</f>
        <v>381.13</v>
      </c>
      <c r="M99" s="55">
        <f>ROUND(K99*L99,2)</f>
        <v>762.26</v>
      </c>
    </row>
    <row r="100" spans="1:13">
      <c r="A100" s="56" t="s">
        <v>502</v>
      </c>
      <c r="B100" s="57" t="s">
        <v>431</v>
      </c>
      <c r="C100" s="57" t="s">
        <v>3</v>
      </c>
      <c r="D100" s="58" t="s">
        <v>503</v>
      </c>
      <c r="E100" s="58"/>
      <c r="F100" s="58"/>
      <c r="G100" s="58"/>
      <c r="H100" s="58"/>
      <c r="I100" s="58"/>
      <c r="J100" s="58"/>
      <c r="K100" s="59">
        <f>SUM(K103:K104)</f>
        <v>2</v>
      </c>
      <c r="L100" s="60">
        <f>ROUND(43.66*(1+M2/100),2)</f>
        <v>44.97</v>
      </c>
      <c r="M100" s="60">
        <f>ROUND(K100*L100,2)</f>
        <v>89.94</v>
      </c>
    </row>
    <row r="101" spans="1:13" ht="22.5">
      <c r="A101" s="39"/>
      <c r="B101" s="39"/>
      <c r="C101" s="39"/>
      <c r="D101" s="36" t="s">
        <v>504</v>
      </c>
      <c r="E101" s="36"/>
      <c r="F101" s="36"/>
      <c r="G101" s="36"/>
      <c r="H101" s="36"/>
      <c r="I101" s="36"/>
      <c r="J101" s="36"/>
      <c r="K101" s="36"/>
      <c r="L101" s="36"/>
      <c r="M101" s="36"/>
    </row>
    <row r="102" spans="1:13">
      <c r="A102" s="39"/>
      <c r="B102" s="39"/>
      <c r="C102" s="39"/>
      <c r="D102" s="39"/>
      <c r="E102" s="40"/>
      <c r="F102" s="41" t="s">
        <v>434</v>
      </c>
      <c r="G102" s="41" t="s">
        <v>435</v>
      </c>
      <c r="H102" s="41" t="s">
        <v>436</v>
      </c>
      <c r="I102" s="41" t="s">
        <v>437</v>
      </c>
      <c r="J102" s="41" t="s">
        <v>438</v>
      </c>
      <c r="K102" s="41" t="s">
        <v>439</v>
      </c>
      <c r="L102" s="39"/>
      <c r="M102" s="39"/>
    </row>
    <row r="103" spans="1:13">
      <c r="A103" s="39"/>
      <c r="B103" s="39"/>
      <c r="C103" s="39"/>
      <c r="D103" s="42"/>
      <c r="E103" s="43" t="s">
        <v>816</v>
      </c>
      <c r="F103" s="44">
        <v>1</v>
      </c>
      <c r="G103" s="45"/>
      <c r="H103" s="45"/>
      <c r="I103" s="45"/>
      <c r="J103" s="46">
        <f>ROUND(F103,3)</f>
        <v>1</v>
      </c>
      <c r="K103" s="48"/>
      <c r="L103" s="39"/>
      <c r="M103" s="39"/>
    </row>
    <row r="104" spans="1:13">
      <c r="A104" s="39"/>
      <c r="B104" s="39"/>
      <c r="C104" s="39"/>
      <c r="D104" s="42"/>
      <c r="E104" s="35" t="s">
        <v>817</v>
      </c>
      <c r="F104" s="49">
        <v>1</v>
      </c>
      <c r="G104" s="37"/>
      <c r="H104" s="37"/>
      <c r="I104" s="37"/>
      <c r="J104" s="50">
        <f>ROUND(F104,3)</f>
        <v>1</v>
      </c>
      <c r="K104" s="51">
        <f>SUM(J103:J104)</f>
        <v>2</v>
      </c>
      <c r="L104" s="39"/>
      <c r="M104" s="39"/>
    </row>
    <row r="105" spans="1:13" ht="33.75">
      <c r="A105" s="34" t="s">
        <v>505</v>
      </c>
      <c r="B105" s="35" t="s">
        <v>431</v>
      </c>
      <c r="C105" s="35" t="s">
        <v>56</v>
      </c>
      <c r="D105" s="36" t="s">
        <v>506</v>
      </c>
      <c r="E105" s="36"/>
      <c r="F105" s="36"/>
      <c r="G105" s="36"/>
      <c r="H105" s="36"/>
      <c r="I105" s="36"/>
      <c r="J105" s="36"/>
      <c r="K105" s="37">
        <f>SUM(K108:K108)</f>
        <v>63</v>
      </c>
      <c r="L105" s="38">
        <f>L116</f>
        <v>55.76</v>
      </c>
      <c r="M105" s="38">
        <f>ROUND(K105*L105,2)</f>
        <v>3512.88</v>
      </c>
    </row>
    <row r="106" spans="1:13" ht="112.5">
      <c r="A106" s="39"/>
      <c r="B106" s="39"/>
      <c r="C106" s="39"/>
      <c r="D106" s="36" t="s">
        <v>822</v>
      </c>
      <c r="E106" s="36"/>
      <c r="F106" s="36"/>
      <c r="G106" s="36"/>
      <c r="H106" s="36"/>
      <c r="I106" s="36"/>
      <c r="J106" s="36"/>
      <c r="K106" s="36"/>
      <c r="L106" s="36"/>
      <c r="M106" s="36"/>
    </row>
    <row r="107" spans="1:13">
      <c r="A107" s="39"/>
      <c r="B107" s="39"/>
      <c r="C107" s="39"/>
      <c r="D107" s="39"/>
      <c r="E107" s="40"/>
      <c r="F107" s="41" t="s">
        <v>434</v>
      </c>
      <c r="G107" s="41" t="s">
        <v>435</v>
      </c>
      <c r="H107" s="41" t="s">
        <v>436</v>
      </c>
      <c r="I107" s="41" t="s">
        <v>437</v>
      </c>
      <c r="J107" s="41" t="s">
        <v>438</v>
      </c>
      <c r="K107" s="41" t="s">
        <v>439</v>
      </c>
      <c r="L107" s="39"/>
      <c r="M107" s="39"/>
    </row>
    <row r="108" spans="1:13" ht="45">
      <c r="A108" s="39"/>
      <c r="B108" s="39"/>
      <c r="C108" s="39"/>
      <c r="D108" s="42"/>
      <c r="E108" s="43" t="s">
        <v>508</v>
      </c>
      <c r="F108" s="44">
        <v>2</v>
      </c>
      <c r="G108" s="45">
        <v>30</v>
      </c>
      <c r="H108" s="45">
        <v>1.05</v>
      </c>
      <c r="I108" s="45"/>
      <c r="J108" s="46">
        <f>ROUND(F108*G108*H108,3)</f>
        <v>63</v>
      </c>
      <c r="K108" s="47">
        <f>SUM(J108:J108)</f>
        <v>63</v>
      </c>
      <c r="L108" s="39"/>
      <c r="M108" s="39"/>
    </row>
    <row r="109" spans="1:13" ht="22.5">
      <c r="A109" s="35" t="s">
        <v>509</v>
      </c>
      <c r="B109" s="35" t="s">
        <v>451</v>
      </c>
      <c r="C109" s="35" t="s">
        <v>422</v>
      </c>
      <c r="D109" s="36" t="s">
        <v>510</v>
      </c>
      <c r="E109" s="36"/>
      <c r="F109" s="36"/>
      <c r="G109" s="36"/>
      <c r="H109" s="36"/>
      <c r="I109" s="36"/>
      <c r="J109" s="36"/>
      <c r="K109" s="37">
        <v>1</v>
      </c>
      <c r="L109" s="37">
        <f>ROUND(1.22,3)</f>
        <v>1.22</v>
      </c>
      <c r="M109" s="38">
        <f t="shared" ref="M109:M114" si="1">ROUND(K109*L109,2)</f>
        <v>1.22</v>
      </c>
    </row>
    <row r="110" spans="1:13" ht="22.5">
      <c r="A110" s="35" t="s">
        <v>511</v>
      </c>
      <c r="B110" s="35" t="s">
        <v>451</v>
      </c>
      <c r="C110" s="35" t="s">
        <v>56</v>
      </c>
      <c r="D110" s="36" t="s">
        <v>512</v>
      </c>
      <c r="E110" s="36"/>
      <c r="F110" s="36"/>
      <c r="G110" s="36"/>
      <c r="H110" s="36"/>
      <c r="I110" s="36"/>
      <c r="J110" s="36"/>
      <c r="K110" s="37">
        <v>1</v>
      </c>
      <c r="L110" s="37">
        <f>ROUND(30.73,3)</f>
        <v>30.73</v>
      </c>
      <c r="M110" s="38">
        <f t="shared" si="1"/>
        <v>30.73</v>
      </c>
    </row>
    <row r="111" spans="1:13" ht="22.5">
      <c r="A111" s="35" t="s">
        <v>513</v>
      </c>
      <c r="B111" s="35" t="s">
        <v>451</v>
      </c>
      <c r="C111" s="35" t="s">
        <v>56</v>
      </c>
      <c r="D111" s="36" t="s">
        <v>514</v>
      </c>
      <c r="E111" s="36"/>
      <c r="F111" s="36"/>
      <c r="G111" s="36"/>
      <c r="H111" s="36"/>
      <c r="I111" s="36"/>
      <c r="J111" s="36"/>
      <c r="K111" s="37">
        <v>1</v>
      </c>
      <c r="L111" s="37">
        <f>ROUND(13.92,3)</f>
        <v>13.92</v>
      </c>
      <c r="M111" s="38">
        <f t="shared" si="1"/>
        <v>13.92</v>
      </c>
    </row>
    <row r="112" spans="1:13">
      <c r="A112" s="35" t="s">
        <v>515</v>
      </c>
      <c r="B112" s="35" t="s">
        <v>451</v>
      </c>
      <c r="C112" s="35" t="s">
        <v>516</v>
      </c>
      <c r="D112" s="36" t="s">
        <v>517</v>
      </c>
      <c r="E112" s="36"/>
      <c r="F112" s="36"/>
      <c r="G112" s="36"/>
      <c r="H112" s="36"/>
      <c r="I112" s="36"/>
      <c r="J112" s="36"/>
      <c r="K112" s="37">
        <v>0.13700000000000001</v>
      </c>
      <c r="L112" s="37">
        <f>ROUND(11.68,3)</f>
        <v>11.68</v>
      </c>
      <c r="M112" s="38">
        <f t="shared" si="1"/>
        <v>1.6</v>
      </c>
    </row>
    <row r="113" spans="1:13">
      <c r="A113" s="35" t="s">
        <v>454</v>
      </c>
      <c r="B113" s="35" t="s">
        <v>455</v>
      </c>
      <c r="C113" s="35" t="s">
        <v>456</v>
      </c>
      <c r="D113" s="36" t="s">
        <v>457</v>
      </c>
      <c r="E113" s="36"/>
      <c r="F113" s="36"/>
      <c r="G113" s="36"/>
      <c r="H113" s="36"/>
      <c r="I113" s="36"/>
      <c r="J113" s="36"/>
      <c r="K113" s="37">
        <v>0.14899999999999999</v>
      </c>
      <c r="L113" s="37">
        <f>ROUND(20.33,3)</f>
        <v>20.329999999999998</v>
      </c>
      <c r="M113" s="38">
        <f t="shared" si="1"/>
        <v>3.03</v>
      </c>
    </row>
    <row r="114" spans="1:13">
      <c r="A114" s="35" t="s">
        <v>458</v>
      </c>
      <c r="B114" s="35" t="s">
        <v>455</v>
      </c>
      <c r="C114" s="35" t="s">
        <v>456</v>
      </c>
      <c r="D114" s="36" t="s">
        <v>459</v>
      </c>
      <c r="E114" s="36"/>
      <c r="F114" s="36"/>
      <c r="G114" s="36"/>
      <c r="H114" s="36"/>
      <c r="I114" s="36"/>
      <c r="J114" s="36"/>
      <c r="K114" s="37">
        <v>0.14899999999999999</v>
      </c>
      <c r="L114" s="37">
        <f>ROUND(17.32,3)</f>
        <v>17.32</v>
      </c>
      <c r="M114" s="38">
        <f t="shared" si="1"/>
        <v>2.58</v>
      </c>
    </row>
    <row r="115" spans="1:13">
      <c r="A115" s="35" t="s">
        <v>460</v>
      </c>
      <c r="B115" s="35"/>
      <c r="C115" s="35" t="s">
        <v>460</v>
      </c>
      <c r="D115" s="36" t="s">
        <v>461</v>
      </c>
      <c r="E115" s="36"/>
      <c r="F115" s="36"/>
      <c r="G115" s="36"/>
      <c r="H115" s="36"/>
      <c r="I115" s="36"/>
      <c r="J115" s="36"/>
      <c r="K115" s="37">
        <v>2</v>
      </c>
      <c r="L115" s="37">
        <f>ROUND(53.08,3)</f>
        <v>53.08</v>
      </c>
      <c r="M115" s="38">
        <f>ROUND((K115*L115)/100,2)</f>
        <v>1.06</v>
      </c>
    </row>
    <row r="116" spans="1:13">
      <c r="A116" s="52"/>
      <c r="B116" s="52"/>
      <c r="C116" s="52"/>
      <c r="D116" s="53" t="s">
        <v>505</v>
      </c>
      <c r="E116" s="52"/>
      <c r="F116" s="52"/>
      <c r="G116" s="52"/>
      <c r="H116" s="52"/>
      <c r="I116" s="52"/>
      <c r="J116" s="52"/>
      <c r="K116" s="54">
        <v>63</v>
      </c>
      <c r="L116" s="55">
        <f>ROUND((M109+M110+M111+M112+M113+M114+M115)*(1+M2/100),2)</f>
        <v>55.76</v>
      </c>
      <c r="M116" s="55">
        <f>ROUND(K116*L116,2)</f>
        <v>3512.88</v>
      </c>
    </row>
    <row r="117" spans="1:13">
      <c r="A117" s="56" t="s">
        <v>518</v>
      </c>
      <c r="B117" s="57" t="s">
        <v>431</v>
      </c>
      <c r="C117" s="57" t="s">
        <v>3</v>
      </c>
      <c r="D117" s="58" t="s">
        <v>519</v>
      </c>
      <c r="E117" s="58"/>
      <c r="F117" s="58"/>
      <c r="G117" s="58"/>
      <c r="H117" s="58"/>
      <c r="I117" s="58"/>
      <c r="J117" s="58"/>
      <c r="K117" s="59">
        <f>SUM(K120:K120)</f>
        <v>1</v>
      </c>
      <c r="L117" s="60">
        <f>ROUND(5230*(1+M2/100),2)</f>
        <v>5386.9</v>
      </c>
      <c r="M117" s="60">
        <f>ROUND(K117*L117,2)</f>
        <v>5386.9</v>
      </c>
    </row>
    <row r="118" spans="1:13">
      <c r="A118" s="39"/>
      <c r="B118" s="39"/>
      <c r="C118" s="39"/>
      <c r="D118" s="36" t="s">
        <v>520</v>
      </c>
      <c r="E118" s="36"/>
      <c r="F118" s="36"/>
      <c r="G118" s="36"/>
      <c r="H118" s="36"/>
      <c r="I118" s="36"/>
      <c r="J118" s="36"/>
      <c r="K118" s="36"/>
      <c r="L118" s="36"/>
      <c r="M118" s="36"/>
    </row>
    <row r="119" spans="1:13">
      <c r="A119" s="39"/>
      <c r="B119" s="39"/>
      <c r="C119" s="39"/>
      <c r="D119" s="39"/>
      <c r="E119" s="40"/>
      <c r="F119" s="41" t="s">
        <v>434</v>
      </c>
      <c r="G119" s="41" t="s">
        <v>435</v>
      </c>
      <c r="H119" s="41" t="s">
        <v>436</v>
      </c>
      <c r="I119" s="41" t="s">
        <v>437</v>
      </c>
      <c r="J119" s="41" t="s">
        <v>438</v>
      </c>
      <c r="K119" s="41" t="s">
        <v>439</v>
      </c>
      <c r="L119" s="39"/>
      <c r="M119" s="39"/>
    </row>
    <row r="120" spans="1:13">
      <c r="A120" s="39"/>
      <c r="B120" s="39"/>
      <c r="C120" s="39"/>
      <c r="D120" s="42"/>
      <c r="E120" s="43"/>
      <c r="F120" s="44">
        <v>1</v>
      </c>
      <c r="G120" s="45"/>
      <c r="H120" s="45"/>
      <c r="I120" s="45"/>
      <c r="J120" s="46">
        <f>ROUND(F120,3)</f>
        <v>1</v>
      </c>
      <c r="K120" s="47">
        <f>SUM(J120:J120)</f>
        <v>1</v>
      </c>
      <c r="L120" s="39"/>
      <c r="M120" s="39"/>
    </row>
    <row r="121" spans="1:13" ht="22.5">
      <c r="A121" s="34" t="s">
        <v>521</v>
      </c>
      <c r="B121" s="35" t="s">
        <v>431</v>
      </c>
      <c r="C121" s="35" t="s">
        <v>3</v>
      </c>
      <c r="D121" s="36" t="s">
        <v>522</v>
      </c>
      <c r="E121" s="36"/>
      <c r="F121" s="36"/>
      <c r="G121" s="36"/>
      <c r="H121" s="36"/>
      <c r="I121" s="36"/>
      <c r="J121" s="36"/>
      <c r="K121" s="37">
        <f>SUM(K124:K125)</f>
        <v>2</v>
      </c>
      <c r="L121" s="38">
        <f>L131</f>
        <v>7619.02</v>
      </c>
      <c r="M121" s="38">
        <f>ROUND(K121*L121,2)</f>
        <v>15238.04</v>
      </c>
    </row>
    <row r="122" spans="1:13" ht="22.5">
      <c r="A122" s="39"/>
      <c r="B122" s="39"/>
      <c r="C122" s="39"/>
      <c r="D122" s="36" t="s">
        <v>523</v>
      </c>
      <c r="E122" s="36"/>
      <c r="F122" s="36"/>
      <c r="G122" s="36"/>
      <c r="H122" s="36"/>
      <c r="I122" s="36"/>
      <c r="J122" s="36"/>
      <c r="K122" s="36"/>
      <c r="L122" s="36"/>
      <c r="M122" s="36"/>
    </row>
    <row r="123" spans="1:13">
      <c r="A123" s="39"/>
      <c r="B123" s="39"/>
      <c r="C123" s="39"/>
      <c r="D123" s="39"/>
      <c r="E123" s="40"/>
      <c r="F123" s="41" t="s">
        <v>434</v>
      </c>
      <c r="G123" s="41" t="s">
        <v>435</v>
      </c>
      <c r="H123" s="41" t="s">
        <v>436</v>
      </c>
      <c r="I123" s="41" t="s">
        <v>437</v>
      </c>
      <c r="J123" s="41" t="s">
        <v>438</v>
      </c>
      <c r="K123" s="41" t="s">
        <v>439</v>
      </c>
      <c r="L123" s="39"/>
      <c r="M123" s="39"/>
    </row>
    <row r="124" spans="1:13">
      <c r="A124" s="39"/>
      <c r="B124" s="39"/>
      <c r="C124" s="39"/>
      <c r="D124" s="42"/>
      <c r="E124" s="43" t="s">
        <v>820</v>
      </c>
      <c r="F124" s="44">
        <v>1</v>
      </c>
      <c r="G124" s="45"/>
      <c r="H124" s="45"/>
      <c r="I124" s="45"/>
      <c r="J124" s="46">
        <f>ROUND(F124,3)</f>
        <v>1</v>
      </c>
      <c r="K124" s="48"/>
      <c r="L124" s="39"/>
      <c r="M124" s="39"/>
    </row>
    <row r="125" spans="1:13">
      <c r="A125" s="39"/>
      <c r="B125" s="39"/>
      <c r="C125" s="39"/>
      <c r="D125" s="42"/>
      <c r="E125" s="35" t="s">
        <v>821</v>
      </c>
      <c r="F125" s="49">
        <v>1</v>
      </c>
      <c r="G125" s="37"/>
      <c r="H125" s="37"/>
      <c r="I125" s="37"/>
      <c r="J125" s="50">
        <f>ROUND(F125,3)</f>
        <v>1</v>
      </c>
      <c r="K125" s="51">
        <f>SUM(J124:J125)</f>
        <v>2</v>
      </c>
      <c r="L125" s="39"/>
      <c r="M125" s="39"/>
    </row>
    <row r="126" spans="1:13">
      <c r="A126" s="35" t="s">
        <v>524</v>
      </c>
      <c r="B126" s="35" t="s">
        <v>525</v>
      </c>
      <c r="C126" s="35" t="s">
        <v>3</v>
      </c>
      <c r="D126" s="36" t="s">
        <v>526</v>
      </c>
      <c r="E126" s="36"/>
      <c r="F126" s="36"/>
      <c r="G126" s="36"/>
      <c r="H126" s="36"/>
      <c r="I126" s="36"/>
      <c r="J126" s="36"/>
      <c r="K126" s="37">
        <v>1</v>
      </c>
      <c r="L126" s="37">
        <f>ROUND(7165,3)</f>
        <v>7165</v>
      </c>
      <c r="M126" s="38">
        <f t="shared" ref="M126:M132" si="2">ROUND(K126*L126,2)</f>
        <v>7165</v>
      </c>
    </row>
    <row r="127" spans="1:13">
      <c r="A127" s="35" t="s">
        <v>527</v>
      </c>
      <c r="B127" s="35" t="s">
        <v>455</v>
      </c>
      <c r="C127" s="35" t="s">
        <v>456</v>
      </c>
      <c r="D127" s="36" t="s">
        <v>528</v>
      </c>
      <c r="E127" s="36"/>
      <c r="F127" s="36"/>
      <c r="G127" s="36"/>
      <c r="H127" s="36"/>
      <c r="I127" s="36"/>
      <c r="J127" s="36"/>
      <c r="K127" s="37">
        <v>5</v>
      </c>
      <c r="L127" s="37">
        <f>ROUND(20.33,3)</f>
        <v>20.329999999999998</v>
      </c>
      <c r="M127" s="38">
        <f t="shared" si="2"/>
        <v>101.65</v>
      </c>
    </row>
    <row r="128" spans="1:13">
      <c r="A128" s="35" t="s">
        <v>529</v>
      </c>
      <c r="B128" s="35" t="s">
        <v>455</v>
      </c>
      <c r="C128" s="35" t="s">
        <v>456</v>
      </c>
      <c r="D128" s="36" t="s">
        <v>530</v>
      </c>
      <c r="E128" s="36"/>
      <c r="F128" s="36"/>
      <c r="G128" s="36"/>
      <c r="H128" s="36"/>
      <c r="I128" s="36"/>
      <c r="J128" s="36"/>
      <c r="K128" s="37">
        <v>5</v>
      </c>
      <c r="L128" s="37">
        <f>ROUND(17.32,3)</f>
        <v>17.32</v>
      </c>
      <c r="M128" s="38">
        <f t="shared" si="2"/>
        <v>86.6</v>
      </c>
    </row>
    <row r="129" spans="1:13" ht="22.5">
      <c r="A129" s="35" t="s">
        <v>531</v>
      </c>
      <c r="B129" s="35" t="s">
        <v>451</v>
      </c>
      <c r="C129" s="35" t="s">
        <v>56</v>
      </c>
      <c r="D129" s="36" t="s">
        <v>532</v>
      </c>
      <c r="E129" s="36"/>
      <c r="F129" s="36"/>
      <c r="G129" s="36"/>
      <c r="H129" s="36"/>
      <c r="I129" s="36"/>
      <c r="J129" s="36"/>
      <c r="K129" s="37">
        <v>8</v>
      </c>
      <c r="L129" s="37">
        <f>ROUND(0.4,3)</f>
        <v>0.4</v>
      </c>
      <c r="M129" s="38">
        <f t="shared" si="2"/>
        <v>3.2</v>
      </c>
    </row>
    <row r="130" spans="1:13">
      <c r="A130" s="35" t="s">
        <v>493</v>
      </c>
      <c r="B130" s="35" t="s">
        <v>455</v>
      </c>
      <c r="C130" s="35" t="s">
        <v>456</v>
      </c>
      <c r="D130" s="36" t="s">
        <v>494</v>
      </c>
      <c r="E130" s="36"/>
      <c r="F130" s="36"/>
      <c r="G130" s="36"/>
      <c r="H130" s="36"/>
      <c r="I130" s="36"/>
      <c r="J130" s="36"/>
      <c r="K130" s="37">
        <v>2</v>
      </c>
      <c r="L130" s="37">
        <f>ROUND(20.33,3)</f>
        <v>20.329999999999998</v>
      </c>
      <c r="M130" s="38">
        <f t="shared" si="2"/>
        <v>40.659999999999997</v>
      </c>
    </row>
    <row r="131" spans="1:13">
      <c r="A131" s="52"/>
      <c r="B131" s="52"/>
      <c r="C131" s="52"/>
      <c r="D131" s="53" t="s">
        <v>521</v>
      </c>
      <c r="E131" s="52"/>
      <c r="F131" s="52"/>
      <c r="G131" s="52"/>
      <c r="H131" s="52"/>
      <c r="I131" s="52"/>
      <c r="J131" s="52"/>
      <c r="K131" s="54">
        <v>2</v>
      </c>
      <c r="L131" s="55">
        <f>ROUND((M126+M127+M128+M129+M130)*(1+M2/100),2)</f>
        <v>7619.02</v>
      </c>
      <c r="M131" s="55">
        <f t="shared" si="2"/>
        <v>15238.04</v>
      </c>
    </row>
    <row r="132" spans="1:13">
      <c r="A132" s="56" t="s">
        <v>533</v>
      </c>
      <c r="B132" s="57" t="s">
        <v>431</v>
      </c>
      <c r="C132" s="57" t="s">
        <v>534</v>
      </c>
      <c r="D132" s="58" t="s">
        <v>535</v>
      </c>
      <c r="E132" s="58"/>
      <c r="F132" s="58"/>
      <c r="G132" s="58"/>
      <c r="H132" s="58"/>
      <c r="I132" s="58"/>
      <c r="J132" s="58"/>
      <c r="K132" s="59">
        <f>SUM(K135:K135)</f>
        <v>210</v>
      </c>
      <c r="L132" s="60">
        <f>L143</f>
        <v>6.65</v>
      </c>
      <c r="M132" s="60">
        <f t="shared" si="2"/>
        <v>1396.5</v>
      </c>
    </row>
    <row r="133" spans="1:13" ht="101.25">
      <c r="A133" s="39"/>
      <c r="B133" s="39"/>
      <c r="C133" s="39"/>
      <c r="D133" s="36" t="s">
        <v>536</v>
      </c>
      <c r="E133" s="36"/>
      <c r="F133" s="36"/>
      <c r="G133" s="36"/>
      <c r="H133" s="36"/>
      <c r="I133" s="36"/>
      <c r="J133" s="36"/>
      <c r="K133" s="36"/>
      <c r="L133" s="36"/>
      <c r="M133" s="36"/>
    </row>
    <row r="134" spans="1:13">
      <c r="A134" s="39"/>
      <c r="B134" s="39"/>
      <c r="C134" s="39"/>
      <c r="D134" s="39"/>
      <c r="E134" s="40"/>
      <c r="F134" s="41" t="s">
        <v>434</v>
      </c>
      <c r="G134" s="41" t="s">
        <v>435</v>
      </c>
      <c r="H134" s="41" t="s">
        <v>436</v>
      </c>
      <c r="I134" s="41" t="s">
        <v>437</v>
      </c>
      <c r="J134" s="41" t="s">
        <v>438</v>
      </c>
      <c r="K134" s="41" t="s">
        <v>439</v>
      </c>
      <c r="L134" s="39"/>
      <c r="M134" s="39"/>
    </row>
    <row r="135" spans="1:13">
      <c r="A135" s="39"/>
      <c r="B135" s="39"/>
      <c r="C135" s="39"/>
      <c r="D135" s="42"/>
      <c r="E135" s="43"/>
      <c r="F135" s="44">
        <v>210</v>
      </c>
      <c r="G135" s="45"/>
      <c r="H135" s="45"/>
      <c r="I135" s="45"/>
      <c r="J135" s="46">
        <f>ROUND(F135,3)</f>
        <v>210</v>
      </c>
      <c r="K135" s="47">
        <f>SUM(J135:J135)</f>
        <v>210</v>
      </c>
      <c r="L135" s="39"/>
      <c r="M135" s="39"/>
    </row>
    <row r="136" spans="1:13">
      <c r="A136" s="35" t="s">
        <v>537</v>
      </c>
      <c r="B136" s="35" t="s">
        <v>451</v>
      </c>
      <c r="C136" s="35" t="s">
        <v>538</v>
      </c>
      <c r="D136" s="36" t="s">
        <v>539</v>
      </c>
      <c r="E136" s="36"/>
      <c r="F136" s="36"/>
      <c r="G136" s="36"/>
      <c r="H136" s="36"/>
      <c r="I136" s="36"/>
      <c r="J136" s="36"/>
      <c r="K136" s="37">
        <v>1.4999999999999999E-2</v>
      </c>
      <c r="L136" s="37">
        <f>ROUND(78.89,3)</f>
        <v>78.89</v>
      </c>
      <c r="M136" s="38">
        <f t="shared" ref="M136:M141" si="3">ROUND(K136*L136,2)</f>
        <v>1.18</v>
      </c>
    </row>
    <row r="137" spans="1:13">
      <c r="A137" s="35" t="s">
        <v>540</v>
      </c>
      <c r="B137" s="35" t="s">
        <v>451</v>
      </c>
      <c r="C137" s="35" t="s">
        <v>538</v>
      </c>
      <c r="D137" s="36" t="s">
        <v>541</v>
      </c>
      <c r="E137" s="36"/>
      <c r="F137" s="36"/>
      <c r="G137" s="36"/>
      <c r="H137" s="36"/>
      <c r="I137" s="36"/>
      <c r="J137" s="36"/>
      <c r="K137" s="37">
        <v>6.0000000000000001E-3</v>
      </c>
      <c r="L137" s="37">
        <f>ROUND(1.5,3)</f>
        <v>1.5</v>
      </c>
      <c r="M137" s="38">
        <f t="shared" si="3"/>
        <v>0.01</v>
      </c>
    </row>
    <row r="138" spans="1:13" ht="22.5">
      <c r="A138" s="35" t="s">
        <v>542</v>
      </c>
      <c r="B138" s="35" t="s">
        <v>451</v>
      </c>
      <c r="C138" s="35" t="s">
        <v>543</v>
      </c>
      <c r="D138" s="36" t="s">
        <v>544</v>
      </c>
      <c r="E138" s="36"/>
      <c r="F138" s="36"/>
      <c r="G138" s="36"/>
      <c r="H138" s="36"/>
      <c r="I138" s="36"/>
      <c r="J138" s="36"/>
      <c r="K138" s="37">
        <v>1.9E-2</v>
      </c>
      <c r="L138" s="37">
        <f>ROUND(36.25,3)</f>
        <v>36.25</v>
      </c>
      <c r="M138" s="38">
        <f t="shared" si="3"/>
        <v>0.69</v>
      </c>
    </row>
    <row r="139" spans="1:13">
      <c r="A139" s="35" t="s">
        <v>545</v>
      </c>
      <c r="B139" s="35" t="s">
        <v>525</v>
      </c>
      <c r="C139" s="35" t="s">
        <v>456</v>
      </c>
      <c r="D139" s="36" t="s">
        <v>546</v>
      </c>
      <c r="E139" s="36"/>
      <c r="F139" s="36"/>
      <c r="G139" s="36"/>
      <c r="H139" s="36"/>
      <c r="I139" s="36"/>
      <c r="J139" s="36"/>
      <c r="K139" s="37">
        <v>5.0000000000000001E-3</v>
      </c>
      <c r="L139" s="37">
        <f>ROUND(25,3)</f>
        <v>25</v>
      </c>
      <c r="M139" s="38">
        <f t="shared" si="3"/>
        <v>0.13</v>
      </c>
    </row>
    <row r="140" spans="1:13">
      <c r="A140" s="35" t="s">
        <v>547</v>
      </c>
      <c r="B140" s="35" t="s">
        <v>455</v>
      </c>
      <c r="C140" s="35" t="s">
        <v>456</v>
      </c>
      <c r="D140" s="36" t="s">
        <v>548</v>
      </c>
      <c r="E140" s="36"/>
      <c r="F140" s="36"/>
      <c r="G140" s="36"/>
      <c r="H140" s="36"/>
      <c r="I140" s="36"/>
      <c r="J140" s="36"/>
      <c r="K140" s="37">
        <v>7.0000000000000007E-2</v>
      </c>
      <c r="L140" s="37">
        <f>ROUND(20.09,3)</f>
        <v>20.09</v>
      </c>
      <c r="M140" s="38">
        <f t="shared" si="3"/>
        <v>1.41</v>
      </c>
    </row>
    <row r="141" spans="1:13">
      <c r="A141" s="35" t="s">
        <v>549</v>
      </c>
      <c r="B141" s="35" t="s">
        <v>455</v>
      </c>
      <c r="C141" s="35" t="s">
        <v>456</v>
      </c>
      <c r="D141" s="36" t="s">
        <v>550</v>
      </c>
      <c r="E141" s="36"/>
      <c r="F141" s="36"/>
      <c r="G141" s="36"/>
      <c r="H141" s="36"/>
      <c r="I141" s="36"/>
      <c r="J141" s="36"/>
      <c r="K141" s="37">
        <v>0.17599999999999999</v>
      </c>
      <c r="L141" s="37">
        <f>ROUND(15.88,3)</f>
        <v>15.88</v>
      </c>
      <c r="M141" s="38">
        <f t="shared" si="3"/>
        <v>2.79</v>
      </c>
    </row>
    <row r="142" spans="1:13">
      <c r="A142" s="35" t="s">
        <v>460</v>
      </c>
      <c r="B142" s="35"/>
      <c r="C142" s="35" t="s">
        <v>460</v>
      </c>
      <c r="D142" s="36" t="s">
        <v>461</v>
      </c>
      <c r="E142" s="36"/>
      <c r="F142" s="36"/>
      <c r="G142" s="36"/>
      <c r="H142" s="36"/>
      <c r="I142" s="36"/>
      <c r="J142" s="36"/>
      <c r="K142" s="37">
        <v>4</v>
      </c>
      <c r="L142" s="37">
        <f>ROUND(6.21,3)</f>
        <v>6.21</v>
      </c>
      <c r="M142" s="38">
        <f>ROUND((K142*L142)/100,2)</f>
        <v>0.25</v>
      </c>
    </row>
    <row r="143" spans="1:13">
      <c r="A143" s="52"/>
      <c r="B143" s="52"/>
      <c r="C143" s="52"/>
      <c r="D143" s="53" t="s">
        <v>533</v>
      </c>
      <c r="E143" s="52"/>
      <c r="F143" s="52"/>
      <c r="G143" s="52"/>
      <c r="H143" s="52"/>
      <c r="I143" s="52"/>
      <c r="J143" s="52"/>
      <c r="K143" s="54">
        <v>210</v>
      </c>
      <c r="L143" s="55">
        <f>ROUND((M136+M137+M138+M139+M140+M141+M142)*(1+M2/100),2)</f>
        <v>6.65</v>
      </c>
      <c r="M143" s="55">
        <f>ROUND(K143*L143,2)</f>
        <v>1396.5</v>
      </c>
    </row>
    <row r="144" spans="1:13">
      <c r="A144" s="56" t="s">
        <v>551</v>
      </c>
      <c r="B144" s="57" t="s">
        <v>431</v>
      </c>
      <c r="C144" s="57" t="s">
        <v>3</v>
      </c>
      <c r="D144" s="58" t="s">
        <v>552</v>
      </c>
      <c r="E144" s="58"/>
      <c r="F144" s="58"/>
      <c r="G144" s="58"/>
      <c r="H144" s="58"/>
      <c r="I144" s="58"/>
      <c r="J144" s="58"/>
      <c r="K144" s="59">
        <f>SUM(K147:K147)</f>
        <v>95</v>
      </c>
      <c r="L144" s="60">
        <f>ROUND(60*(1+M2/100),2)</f>
        <v>61.8</v>
      </c>
      <c r="M144" s="60">
        <f>ROUND(K144*L144,2)</f>
        <v>5871</v>
      </c>
    </row>
    <row r="145" spans="1:13">
      <c r="A145" s="39"/>
      <c r="B145" s="39"/>
      <c r="C145" s="39"/>
      <c r="D145" s="36" t="s">
        <v>552</v>
      </c>
      <c r="E145" s="36"/>
      <c r="F145" s="36"/>
      <c r="G145" s="36"/>
      <c r="H145" s="36"/>
      <c r="I145" s="36"/>
      <c r="J145" s="36"/>
      <c r="K145" s="36"/>
      <c r="L145" s="36"/>
      <c r="M145" s="36"/>
    </row>
    <row r="146" spans="1:13">
      <c r="A146" s="39"/>
      <c r="B146" s="39"/>
      <c r="C146" s="39"/>
      <c r="D146" s="39"/>
      <c r="E146" s="40"/>
      <c r="F146" s="41" t="s">
        <v>434</v>
      </c>
      <c r="G146" s="41" t="s">
        <v>435</v>
      </c>
      <c r="H146" s="41" t="s">
        <v>436</v>
      </c>
      <c r="I146" s="41" t="s">
        <v>437</v>
      </c>
      <c r="J146" s="41" t="s">
        <v>438</v>
      </c>
      <c r="K146" s="41" t="s">
        <v>439</v>
      </c>
      <c r="L146" s="39"/>
      <c r="M146" s="39"/>
    </row>
    <row r="147" spans="1:13">
      <c r="A147" s="39"/>
      <c r="B147" s="39"/>
      <c r="C147" s="39"/>
      <c r="D147" s="42"/>
      <c r="E147" s="43"/>
      <c r="F147" s="44">
        <v>95</v>
      </c>
      <c r="G147" s="45"/>
      <c r="H147" s="45"/>
      <c r="I147" s="45"/>
      <c r="J147" s="46">
        <f>ROUND(F147,3)</f>
        <v>95</v>
      </c>
      <c r="K147" s="47">
        <f>SUM(J147:J147)</f>
        <v>95</v>
      </c>
      <c r="L147" s="39"/>
      <c r="M147" s="39"/>
    </row>
    <row r="148" spans="1:13">
      <c r="A148" s="34" t="s">
        <v>553</v>
      </c>
      <c r="B148" s="35" t="s">
        <v>431</v>
      </c>
      <c r="C148" s="35" t="s">
        <v>3</v>
      </c>
      <c r="D148" s="36" t="s">
        <v>554</v>
      </c>
      <c r="E148" s="36"/>
      <c r="F148" s="36"/>
      <c r="G148" s="36"/>
      <c r="H148" s="36"/>
      <c r="I148" s="36"/>
      <c r="J148" s="36"/>
      <c r="K148" s="37">
        <f>SUM(K151:K151)</f>
        <v>1</v>
      </c>
      <c r="L148" s="38">
        <f>ROUND(2165*(1+M2/100),2)</f>
        <v>2229.9499999999998</v>
      </c>
      <c r="M148" s="38">
        <f>ROUND(K148*L148,2)</f>
        <v>2229.9499999999998</v>
      </c>
    </row>
    <row r="149" spans="1:13">
      <c r="A149" s="39"/>
      <c r="B149" s="39"/>
      <c r="C149" s="39"/>
      <c r="D149" s="36" t="s">
        <v>554</v>
      </c>
      <c r="E149" s="36"/>
      <c r="F149" s="36"/>
      <c r="G149" s="36"/>
      <c r="H149" s="36"/>
      <c r="I149" s="36"/>
      <c r="J149" s="36"/>
      <c r="K149" s="36"/>
      <c r="L149" s="36"/>
      <c r="M149" s="36"/>
    </row>
    <row r="150" spans="1:13">
      <c r="A150" s="39"/>
      <c r="B150" s="39"/>
      <c r="C150" s="39"/>
      <c r="D150" s="39"/>
      <c r="E150" s="40"/>
      <c r="F150" s="41" t="s">
        <v>434</v>
      </c>
      <c r="G150" s="41" t="s">
        <v>435</v>
      </c>
      <c r="H150" s="41" t="s">
        <v>436</v>
      </c>
      <c r="I150" s="41" t="s">
        <v>437</v>
      </c>
      <c r="J150" s="41" t="s">
        <v>438</v>
      </c>
      <c r="K150" s="41" t="s">
        <v>439</v>
      </c>
      <c r="L150" s="39"/>
      <c r="M150" s="39"/>
    </row>
    <row r="151" spans="1:13">
      <c r="A151" s="39"/>
      <c r="B151" s="39"/>
      <c r="C151" s="39"/>
      <c r="D151" s="42"/>
      <c r="E151" s="43"/>
      <c r="F151" s="44">
        <v>1</v>
      </c>
      <c r="G151" s="45"/>
      <c r="H151" s="45"/>
      <c r="I151" s="45"/>
      <c r="J151" s="46">
        <f>ROUND(F151,3)</f>
        <v>1</v>
      </c>
      <c r="K151" s="47">
        <f>SUM(J151:J151)</f>
        <v>1</v>
      </c>
      <c r="L151" s="39"/>
      <c r="M151" s="39"/>
    </row>
    <row r="152" spans="1:13">
      <c r="A152" s="52"/>
      <c r="B152" s="52"/>
      <c r="C152" s="52"/>
      <c r="D152" s="61" t="s">
        <v>14</v>
      </c>
      <c r="E152" s="62"/>
      <c r="F152" s="62"/>
      <c r="G152" s="62"/>
      <c r="H152" s="62"/>
      <c r="I152" s="62"/>
      <c r="J152" s="62"/>
      <c r="K152" s="62"/>
      <c r="L152" s="63">
        <f>M6+M10+M14+M19+M29+M40+M51+M64+M75+M89+M100+M105+M117+M121+M132+M144+M148</f>
        <v>46007.92</v>
      </c>
      <c r="M152" s="63">
        <f>ROUND(L152,2)</f>
        <v>46007.92</v>
      </c>
    </row>
    <row r="153" spans="1:13">
      <c r="A153" s="64" t="s">
        <v>99</v>
      </c>
      <c r="B153" s="64" t="s">
        <v>428</v>
      </c>
      <c r="C153" s="65"/>
      <c r="D153" s="66" t="s">
        <v>555</v>
      </c>
      <c r="E153" s="66"/>
      <c r="F153" s="66"/>
      <c r="G153" s="66"/>
      <c r="H153" s="66"/>
      <c r="I153" s="66"/>
      <c r="J153" s="66"/>
      <c r="K153" s="65"/>
      <c r="L153" s="67">
        <f>L399</f>
        <v>106237.54000000001</v>
      </c>
      <c r="M153" s="67">
        <f>ROUND(L153,2)</f>
        <v>106237.54</v>
      </c>
    </row>
    <row r="154" spans="1:13">
      <c r="A154" s="68" t="s">
        <v>556</v>
      </c>
      <c r="B154" s="68" t="s">
        <v>428</v>
      </c>
      <c r="C154" s="69"/>
      <c r="D154" s="70" t="s">
        <v>557</v>
      </c>
      <c r="E154" s="70"/>
      <c r="F154" s="70"/>
      <c r="G154" s="70"/>
      <c r="H154" s="70"/>
      <c r="I154" s="70"/>
      <c r="J154" s="70"/>
      <c r="K154" s="69"/>
      <c r="L154" s="71">
        <f>L260</f>
        <v>50139</v>
      </c>
      <c r="M154" s="71">
        <f>ROUND(L154,2)</f>
        <v>50139</v>
      </c>
    </row>
    <row r="155" spans="1:13" ht="33.75">
      <c r="A155" s="34" t="s">
        <v>568</v>
      </c>
      <c r="B155" s="35" t="s">
        <v>431</v>
      </c>
      <c r="C155" s="35" t="s">
        <v>56</v>
      </c>
      <c r="D155" s="36" t="s">
        <v>569</v>
      </c>
      <c r="E155" s="36"/>
      <c r="F155" s="36"/>
      <c r="G155" s="36"/>
      <c r="H155" s="36"/>
      <c r="I155" s="36"/>
      <c r="J155" s="36"/>
      <c r="K155" s="37">
        <f>SUM(K158:K159)</f>
        <v>190.239</v>
      </c>
      <c r="L155" s="38">
        <f>L167</f>
        <v>32.51</v>
      </c>
      <c r="M155" s="38">
        <f>ROUND(K155*L155,2)</f>
        <v>6184.67</v>
      </c>
    </row>
    <row r="156" spans="1:13" ht="101.25">
      <c r="A156" s="39"/>
      <c r="B156" s="39"/>
      <c r="C156" s="39"/>
      <c r="D156" s="36" t="s">
        <v>570</v>
      </c>
      <c r="E156" s="36"/>
      <c r="F156" s="36"/>
      <c r="G156" s="36"/>
      <c r="H156" s="36"/>
      <c r="I156" s="36"/>
      <c r="J156" s="36"/>
      <c r="K156" s="36"/>
      <c r="L156" s="36"/>
      <c r="M156" s="36"/>
    </row>
    <row r="157" spans="1:13">
      <c r="A157" s="39"/>
      <c r="B157" s="39"/>
      <c r="C157" s="39"/>
      <c r="D157" s="39"/>
      <c r="E157" s="40"/>
      <c r="F157" s="41" t="s">
        <v>434</v>
      </c>
      <c r="G157" s="41" t="s">
        <v>435</v>
      </c>
      <c r="H157" s="41" t="s">
        <v>436</v>
      </c>
      <c r="I157" s="41" t="s">
        <v>437</v>
      </c>
      <c r="J157" s="41" t="s">
        <v>438</v>
      </c>
      <c r="K157" s="41" t="s">
        <v>439</v>
      </c>
      <c r="L157" s="39"/>
      <c r="M157" s="39"/>
    </row>
    <row r="158" spans="1:13" ht="33.75">
      <c r="A158" s="39"/>
      <c r="B158" s="39"/>
      <c r="C158" s="39"/>
      <c r="D158" s="42"/>
      <c r="E158" s="43" t="s">
        <v>823</v>
      </c>
      <c r="F158" s="44">
        <v>2</v>
      </c>
      <c r="G158" s="45">
        <v>43.74</v>
      </c>
      <c r="H158" s="45">
        <v>1.05</v>
      </c>
      <c r="I158" s="45"/>
      <c r="J158" s="46">
        <f>ROUND(F158*G158*H158,3)</f>
        <v>91.853999999999999</v>
      </c>
      <c r="K158" s="48"/>
      <c r="L158" s="39"/>
      <c r="M158" s="39"/>
    </row>
    <row r="159" spans="1:13" ht="33.75">
      <c r="A159" s="39"/>
      <c r="B159" s="39"/>
      <c r="C159" s="39"/>
      <c r="D159" s="42"/>
      <c r="E159" s="35" t="s">
        <v>824</v>
      </c>
      <c r="F159" s="49">
        <v>2</v>
      </c>
      <c r="G159" s="37">
        <v>46.85</v>
      </c>
      <c r="H159" s="37">
        <v>1.05</v>
      </c>
      <c r="I159" s="37"/>
      <c r="J159" s="50">
        <f>ROUND(F159*G159*H159,3)</f>
        <v>98.385000000000005</v>
      </c>
      <c r="K159" s="51">
        <f>SUM(J158:J159)</f>
        <v>190.239</v>
      </c>
      <c r="L159" s="39"/>
      <c r="M159" s="39"/>
    </row>
    <row r="160" spans="1:13" ht="22.5">
      <c r="A160" s="35" t="s">
        <v>572</v>
      </c>
      <c r="B160" s="35" t="s">
        <v>451</v>
      </c>
      <c r="C160" s="35" t="s">
        <v>422</v>
      </c>
      <c r="D160" s="36" t="s">
        <v>573</v>
      </c>
      <c r="E160" s="36"/>
      <c r="F160" s="36"/>
      <c r="G160" s="36"/>
      <c r="H160" s="36"/>
      <c r="I160" s="36"/>
      <c r="J160" s="36"/>
      <c r="K160" s="37">
        <v>1</v>
      </c>
      <c r="L160" s="37">
        <f>ROUND(0.48,3)</f>
        <v>0.48</v>
      </c>
      <c r="M160" s="38">
        <f t="shared" ref="M160:M165" si="4">ROUND(K160*L160,2)</f>
        <v>0.48</v>
      </c>
    </row>
    <row r="161" spans="1:13" ht="22.5">
      <c r="A161" s="35" t="s">
        <v>574</v>
      </c>
      <c r="B161" s="35" t="s">
        <v>451</v>
      </c>
      <c r="C161" s="35" t="s">
        <v>56</v>
      </c>
      <c r="D161" s="36" t="s">
        <v>575</v>
      </c>
      <c r="E161" s="36"/>
      <c r="F161" s="36"/>
      <c r="G161" s="36"/>
      <c r="H161" s="36"/>
      <c r="I161" s="36"/>
      <c r="J161" s="36"/>
      <c r="K161" s="37">
        <v>1</v>
      </c>
      <c r="L161" s="37">
        <f>ROUND(11.58,3)</f>
        <v>11.58</v>
      </c>
      <c r="M161" s="38">
        <f t="shared" si="4"/>
        <v>11.58</v>
      </c>
    </row>
    <row r="162" spans="1:13" ht="22.5">
      <c r="A162" s="35" t="s">
        <v>576</v>
      </c>
      <c r="B162" s="35" t="s">
        <v>451</v>
      </c>
      <c r="C162" s="35" t="s">
        <v>56</v>
      </c>
      <c r="D162" s="36" t="s">
        <v>577</v>
      </c>
      <c r="E162" s="36"/>
      <c r="F162" s="36"/>
      <c r="G162" s="36"/>
      <c r="H162" s="36"/>
      <c r="I162" s="36"/>
      <c r="J162" s="36"/>
      <c r="K162" s="37">
        <v>1</v>
      </c>
      <c r="L162" s="37">
        <f>ROUND(13.13,3)</f>
        <v>13.13</v>
      </c>
      <c r="M162" s="38">
        <f t="shared" si="4"/>
        <v>13.13</v>
      </c>
    </row>
    <row r="163" spans="1:13">
      <c r="A163" s="35" t="s">
        <v>515</v>
      </c>
      <c r="B163" s="35" t="s">
        <v>451</v>
      </c>
      <c r="C163" s="35" t="s">
        <v>516</v>
      </c>
      <c r="D163" s="36" t="s">
        <v>517</v>
      </c>
      <c r="E163" s="36"/>
      <c r="F163" s="36"/>
      <c r="G163" s="36"/>
      <c r="H163" s="36"/>
      <c r="I163" s="36"/>
      <c r="J163" s="36"/>
      <c r="K163" s="37">
        <v>6.7000000000000004E-2</v>
      </c>
      <c r="L163" s="37">
        <f>ROUND(11.68,3)</f>
        <v>11.68</v>
      </c>
      <c r="M163" s="38">
        <f t="shared" si="4"/>
        <v>0.78</v>
      </c>
    </row>
    <row r="164" spans="1:13">
      <c r="A164" s="35" t="s">
        <v>454</v>
      </c>
      <c r="B164" s="35" t="s">
        <v>455</v>
      </c>
      <c r="C164" s="35" t="s">
        <v>456</v>
      </c>
      <c r="D164" s="36" t="s">
        <v>457</v>
      </c>
      <c r="E164" s="36"/>
      <c r="F164" s="36"/>
      <c r="G164" s="36"/>
      <c r="H164" s="36"/>
      <c r="I164" s="36"/>
      <c r="J164" s="36"/>
      <c r="K164" s="37">
        <v>0.13200000000000001</v>
      </c>
      <c r="L164" s="37">
        <f>ROUND(20.33,3)</f>
        <v>20.329999999999998</v>
      </c>
      <c r="M164" s="38">
        <f t="shared" si="4"/>
        <v>2.68</v>
      </c>
    </row>
    <row r="165" spans="1:13">
      <c r="A165" s="35" t="s">
        <v>458</v>
      </c>
      <c r="B165" s="35" t="s">
        <v>455</v>
      </c>
      <c r="C165" s="35" t="s">
        <v>456</v>
      </c>
      <c r="D165" s="36" t="s">
        <v>459</v>
      </c>
      <c r="E165" s="36"/>
      <c r="F165" s="36"/>
      <c r="G165" s="36"/>
      <c r="H165" s="36"/>
      <c r="I165" s="36"/>
      <c r="J165" s="36"/>
      <c r="K165" s="37">
        <v>0.13200000000000001</v>
      </c>
      <c r="L165" s="37">
        <f>ROUND(17.32,3)</f>
        <v>17.32</v>
      </c>
      <c r="M165" s="38">
        <f t="shared" si="4"/>
        <v>2.29</v>
      </c>
    </row>
    <row r="166" spans="1:13">
      <c r="A166" s="35" t="s">
        <v>460</v>
      </c>
      <c r="B166" s="35"/>
      <c r="C166" s="35" t="s">
        <v>460</v>
      </c>
      <c r="D166" s="36" t="s">
        <v>461</v>
      </c>
      <c r="E166" s="36"/>
      <c r="F166" s="36"/>
      <c r="G166" s="36"/>
      <c r="H166" s="36"/>
      <c r="I166" s="36"/>
      <c r="J166" s="36"/>
      <c r="K166" s="37">
        <v>2</v>
      </c>
      <c r="L166" s="37">
        <f>ROUND(30.94,3)</f>
        <v>30.94</v>
      </c>
      <c r="M166" s="38">
        <f>ROUND((K166*L166)/100,2)</f>
        <v>0.62</v>
      </c>
    </row>
    <row r="167" spans="1:13">
      <c r="A167" s="52"/>
      <c r="B167" s="52"/>
      <c r="C167" s="52"/>
      <c r="D167" s="53" t="s">
        <v>568</v>
      </c>
      <c r="E167" s="52"/>
      <c r="F167" s="52"/>
      <c r="G167" s="52"/>
      <c r="H167" s="52"/>
      <c r="I167" s="52"/>
      <c r="J167" s="52"/>
      <c r="K167" s="54">
        <v>190.239</v>
      </c>
      <c r="L167" s="55">
        <f>ROUND((M160+M161+M162+M163+M164+M165+M166)*(1+M2/100),2)</f>
        <v>32.51</v>
      </c>
      <c r="M167" s="55">
        <f>ROUND(K167*L167,2)</f>
        <v>6184.67</v>
      </c>
    </row>
    <row r="168" spans="1:13">
      <c r="A168" s="56" t="s">
        <v>578</v>
      </c>
      <c r="B168" s="57" t="s">
        <v>431</v>
      </c>
      <c r="C168" s="57" t="s">
        <v>422</v>
      </c>
      <c r="D168" s="58" t="s">
        <v>579</v>
      </c>
      <c r="E168" s="58"/>
      <c r="F168" s="58"/>
      <c r="G168" s="58"/>
      <c r="H168" s="58"/>
      <c r="I168" s="58"/>
      <c r="J168" s="58"/>
      <c r="K168" s="59">
        <f>SUM(K171:K172)</f>
        <v>4</v>
      </c>
      <c r="L168" s="60">
        <f>L178</f>
        <v>27.24</v>
      </c>
      <c r="M168" s="60">
        <f>ROUND(K168*L168,2)</f>
        <v>108.96</v>
      </c>
    </row>
    <row r="169" spans="1:13" ht="56.25">
      <c r="A169" s="39"/>
      <c r="B169" s="39"/>
      <c r="C169" s="39"/>
      <c r="D169" s="36" t="s">
        <v>580</v>
      </c>
      <c r="E169" s="36"/>
      <c r="F169" s="36"/>
      <c r="G169" s="36"/>
      <c r="H169" s="36"/>
      <c r="I169" s="36"/>
      <c r="J169" s="36"/>
      <c r="K169" s="36"/>
      <c r="L169" s="36"/>
      <c r="M169" s="36"/>
    </row>
    <row r="170" spans="1:13">
      <c r="A170" s="39"/>
      <c r="B170" s="39"/>
      <c r="C170" s="39"/>
      <c r="D170" s="39"/>
      <c r="E170" s="40"/>
      <c r="F170" s="41" t="s">
        <v>434</v>
      </c>
      <c r="G170" s="41" t="s">
        <v>435</v>
      </c>
      <c r="H170" s="41" t="s">
        <v>436</v>
      </c>
      <c r="I170" s="41" t="s">
        <v>437</v>
      </c>
      <c r="J170" s="41" t="s">
        <v>438</v>
      </c>
      <c r="K170" s="41" t="s">
        <v>439</v>
      </c>
      <c r="L170" s="39"/>
      <c r="M170" s="39"/>
    </row>
    <row r="171" spans="1:13" ht="33.75">
      <c r="A171" s="39"/>
      <c r="B171" s="39"/>
      <c r="C171" s="39"/>
      <c r="D171" s="42"/>
      <c r="E171" s="43" t="s">
        <v>825</v>
      </c>
      <c r="F171" s="44">
        <v>2</v>
      </c>
      <c r="G171" s="45"/>
      <c r="H171" s="45"/>
      <c r="I171" s="45"/>
      <c r="J171" s="46">
        <f>ROUND(F171,3)</f>
        <v>2</v>
      </c>
      <c r="K171" s="48"/>
      <c r="L171" s="39"/>
      <c r="M171" s="39"/>
    </row>
    <row r="172" spans="1:13" ht="33.75">
      <c r="A172" s="39"/>
      <c r="B172" s="39"/>
      <c r="C172" s="39"/>
      <c r="D172" s="42"/>
      <c r="E172" s="35" t="s">
        <v>826</v>
      </c>
      <c r="F172" s="49">
        <v>2</v>
      </c>
      <c r="G172" s="37"/>
      <c r="H172" s="37"/>
      <c r="I172" s="37"/>
      <c r="J172" s="50">
        <f>ROUND(F172,3)</f>
        <v>2</v>
      </c>
      <c r="K172" s="51">
        <f>SUM(J171:J172)</f>
        <v>4</v>
      </c>
      <c r="L172" s="39"/>
      <c r="M172" s="39"/>
    </row>
    <row r="173" spans="1:13">
      <c r="A173" s="35" t="s">
        <v>583</v>
      </c>
      <c r="B173" s="35" t="s">
        <v>451</v>
      </c>
      <c r="C173" s="35" t="s">
        <v>422</v>
      </c>
      <c r="D173" s="36" t="s">
        <v>579</v>
      </c>
      <c r="E173" s="36"/>
      <c r="F173" s="36"/>
      <c r="G173" s="36"/>
      <c r="H173" s="36"/>
      <c r="I173" s="36"/>
      <c r="J173" s="36"/>
      <c r="K173" s="37">
        <v>1</v>
      </c>
      <c r="L173" s="37">
        <f>ROUND(21.57,3)</f>
        <v>21.57</v>
      </c>
      <c r="M173" s="38">
        <f>ROUND(K173*L173,2)</f>
        <v>21.57</v>
      </c>
    </row>
    <row r="174" spans="1:13" ht="22.5">
      <c r="A174" s="35" t="s">
        <v>452</v>
      </c>
      <c r="B174" s="35" t="s">
        <v>451</v>
      </c>
      <c r="C174" s="35" t="s">
        <v>422</v>
      </c>
      <c r="D174" s="36" t="s">
        <v>453</v>
      </c>
      <c r="E174" s="36"/>
      <c r="F174" s="36"/>
      <c r="G174" s="36"/>
      <c r="H174" s="36"/>
      <c r="I174" s="36"/>
      <c r="J174" s="36"/>
      <c r="K174" s="37">
        <v>0.1</v>
      </c>
      <c r="L174" s="37">
        <f>ROUND(2.1,3)</f>
        <v>2.1</v>
      </c>
      <c r="M174" s="38">
        <f>ROUND(K174*L174,2)</f>
        <v>0.21</v>
      </c>
    </row>
    <row r="175" spans="1:13">
      <c r="A175" s="35" t="s">
        <v>454</v>
      </c>
      <c r="B175" s="35" t="s">
        <v>455</v>
      </c>
      <c r="C175" s="35" t="s">
        <v>456</v>
      </c>
      <c r="D175" s="36" t="s">
        <v>457</v>
      </c>
      <c r="E175" s="36"/>
      <c r="F175" s="36"/>
      <c r="G175" s="36"/>
      <c r="H175" s="36"/>
      <c r="I175" s="36"/>
      <c r="J175" s="36"/>
      <c r="K175" s="37">
        <v>0.11</v>
      </c>
      <c r="L175" s="37">
        <f>ROUND(20.33,3)</f>
        <v>20.329999999999998</v>
      </c>
      <c r="M175" s="38">
        <f>ROUND(K175*L175,2)</f>
        <v>2.2400000000000002</v>
      </c>
    </row>
    <row r="176" spans="1:13">
      <c r="A176" s="35" t="s">
        <v>458</v>
      </c>
      <c r="B176" s="35" t="s">
        <v>455</v>
      </c>
      <c r="C176" s="35" t="s">
        <v>456</v>
      </c>
      <c r="D176" s="36" t="s">
        <v>459</v>
      </c>
      <c r="E176" s="36"/>
      <c r="F176" s="36"/>
      <c r="G176" s="36"/>
      <c r="H176" s="36"/>
      <c r="I176" s="36"/>
      <c r="J176" s="36"/>
      <c r="K176" s="37">
        <v>0.11</v>
      </c>
      <c r="L176" s="37">
        <f>ROUND(17.32,3)</f>
        <v>17.32</v>
      </c>
      <c r="M176" s="38">
        <f>ROUND(K176*L176,2)</f>
        <v>1.91</v>
      </c>
    </row>
    <row r="177" spans="1:13">
      <c r="A177" s="35" t="s">
        <v>460</v>
      </c>
      <c r="B177" s="35"/>
      <c r="C177" s="35" t="s">
        <v>460</v>
      </c>
      <c r="D177" s="36" t="s">
        <v>461</v>
      </c>
      <c r="E177" s="36"/>
      <c r="F177" s="36"/>
      <c r="G177" s="36"/>
      <c r="H177" s="36"/>
      <c r="I177" s="36"/>
      <c r="J177" s="36"/>
      <c r="K177" s="37">
        <v>2</v>
      </c>
      <c r="L177" s="37">
        <f>ROUND(25.93,3)</f>
        <v>25.93</v>
      </c>
      <c r="M177" s="38">
        <f>ROUND((K177*L177)/100,2)</f>
        <v>0.52</v>
      </c>
    </row>
    <row r="178" spans="1:13">
      <c r="A178" s="52"/>
      <c r="B178" s="52"/>
      <c r="C178" s="52"/>
      <c r="D178" s="53" t="s">
        <v>578</v>
      </c>
      <c r="E178" s="52"/>
      <c r="F178" s="52"/>
      <c r="G178" s="52"/>
      <c r="H178" s="52"/>
      <c r="I178" s="52"/>
      <c r="J178" s="52"/>
      <c r="K178" s="54">
        <v>4</v>
      </c>
      <c r="L178" s="55">
        <f>ROUND((M173+M174+M175+M176+M177)*(1+M2/100),2)</f>
        <v>27.24</v>
      </c>
      <c r="M178" s="55">
        <f>ROUND(K178*L178,2)</f>
        <v>108.96</v>
      </c>
    </row>
    <row r="179" spans="1:13">
      <c r="A179" s="56" t="s">
        <v>584</v>
      </c>
      <c r="B179" s="57" t="s">
        <v>431</v>
      </c>
      <c r="C179" s="57" t="s">
        <v>3</v>
      </c>
      <c r="D179" s="58" t="s">
        <v>585</v>
      </c>
      <c r="E179" s="58"/>
      <c r="F179" s="58"/>
      <c r="G179" s="58"/>
      <c r="H179" s="58"/>
      <c r="I179" s="58"/>
      <c r="J179" s="58"/>
      <c r="K179" s="59">
        <f>SUM(K182:K182)</f>
        <v>2</v>
      </c>
      <c r="L179" s="60">
        <f>ROUND(385*(1+M2/100),2)</f>
        <v>396.55</v>
      </c>
      <c r="M179" s="60">
        <f>ROUND(K179*L179,2)</f>
        <v>793.1</v>
      </c>
    </row>
    <row r="180" spans="1:13">
      <c r="A180" s="39"/>
      <c r="B180" s="39"/>
      <c r="C180" s="39"/>
      <c r="D180" s="36" t="s">
        <v>586</v>
      </c>
      <c r="E180" s="36"/>
      <c r="F180" s="36"/>
      <c r="G180" s="36"/>
      <c r="H180" s="36"/>
      <c r="I180" s="36"/>
      <c r="J180" s="36"/>
      <c r="K180" s="36"/>
      <c r="L180" s="36"/>
      <c r="M180" s="36"/>
    </row>
    <row r="181" spans="1:13">
      <c r="A181" s="39"/>
      <c r="B181" s="39"/>
      <c r="C181" s="39"/>
      <c r="D181" s="39"/>
      <c r="E181" s="40"/>
      <c r="F181" s="41" t="s">
        <v>434</v>
      </c>
      <c r="G181" s="41" t="s">
        <v>435</v>
      </c>
      <c r="H181" s="41" t="s">
        <v>436</v>
      </c>
      <c r="I181" s="41" t="s">
        <v>437</v>
      </c>
      <c r="J181" s="41" t="s">
        <v>438</v>
      </c>
      <c r="K181" s="41" t="s">
        <v>439</v>
      </c>
      <c r="L181" s="39"/>
      <c r="M181" s="39"/>
    </row>
    <row r="182" spans="1:13" ht="22.5">
      <c r="A182" s="39"/>
      <c r="B182" s="39"/>
      <c r="C182" s="39"/>
      <c r="D182" s="42"/>
      <c r="E182" s="43" t="s">
        <v>827</v>
      </c>
      <c r="F182" s="44">
        <v>2</v>
      </c>
      <c r="G182" s="45"/>
      <c r="H182" s="45"/>
      <c r="I182" s="45"/>
      <c r="J182" s="46">
        <f>ROUND(F182,3)</f>
        <v>2</v>
      </c>
      <c r="K182" s="47">
        <f>SUM(J182:J182)</f>
        <v>2</v>
      </c>
      <c r="L182" s="39"/>
      <c r="M182" s="39"/>
    </row>
    <row r="183" spans="1:13" ht="22.5">
      <c r="A183" s="34" t="s">
        <v>588</v>
      </c>
      <c r="B183" s="35" t="s">
        <v>431</v>
      </c>
      <c r="C183" s="35" t="s">
        <v>3</v>
      </c>
      <c r="D183" s="36" t="s">
        <v>589</v>
      </c>
      <c r="E183" s="36"/>
      <c r="F183" s="36"/>
      <c r="G183" s="36"/>
      <c r="H183" s="36"/>
      <c r="I183" s="36"/>
      <c r="J183" s="36"/>
      <c r="K183" s="37">
        <f>SUM(K186:K187)</f>
        <v>2</v>
      </c>
      <c r="L183" s="38">
        <f>L193</f>
        <v>1229.6199999999999</v>
      </c>
      <c r="M183" s="38">
        <f>ROUND(K183*L183,2)</f>
        <v>2459.2399999999998</v>
      </c>
    </row>
    <row r="184" spans="1:13">
      <c r="A184" s="39"/>
      <c r="B184" s="39"/>
      <c r="C184" s="39"/>
      <c r="D184" s="36" t="s">
        <v>590</v>
      </c>
      <c r="E184" s="36"/>
      <c r="F184" s="36"/>
      <c r="G184" s="36"/>
      <c r="H184" s="36"/>
      <c r="I184" s="36"/>
      <c r="J184" s="36"/>
      <c r="K184" s="36"/>
      <c r="L184" s="36"/>
      <c r="M184" s="36"/>
    </row>
    <row r="185" spans="1:13">
      <c r="A185" s="39"/>
      <c r="B185" s="39"/>
      <c r="C185" s="39"/>
      <c r="D185" s="39"/>
      <c r="E185" s="40"/>
      <c r="F185" s="41" t="s">
        <v>434</v>
      </c>
      <c r="G185" s="41" t="s">
        <v>435</v>
      </c>
      <c r="H185" s="41" t="s">
        <v>436</v>
      </c>
      <c r="I185" s="41" t="s">
        <v>437</v>
      </c>
      <c r="J185" s="41" t="s">
        <v>438</v>
      </c>
      <c r="K185" s="41" t="s">
        <v>439</v>
      </c>
      <c r="L185" s="39"/>
      <c r="M185" s="39"/>
    </row>
    <row r="186" spans="1:13">
      <c r="A186" s="39"/>
      <c r="B186" s="39"/>
      <c r="C186" s="39"/>
      <c r="D186" s="42"/>
      <c r="E186" s="43" t="s">
        <v>828</v>
      </c>
      <c r="F186" s="44">
        <v>1</v>
      </c>
      <c r="G186" s="45"/>
      <c r="H186" s="45"/>
      <c r="I186" s="45"/>
      <c r="J186" s="46">
        <f>ROUND(F186,3)</f>
        <v>1</v>
      </c>
      <c r="K186" s="48"/>
      <c r="L186" s="39"/>
      <c r="M186" s="39"/>
    </row>
    <row r="187" spans="1:13">
      <c r="A187" s="39"/>
      <c r="B187" s="39"/>
      <c r="C187" s="39"/>
      <c r="D187" s="42"/>
      <c r="E187" s="35" t="s">
        <v>829</v>
      </c>
      <c r="F187" s="49">
        <v>1</v>
      </c>
      <c r="G187" s="37"/>
      <c r="H187" s="37"/>
      <c r="I187" s="37"/>
      <c r="J187" s="50">
        <f>ROUND(F187,3)</f>
        <v>1</v>
      </c>
      <c r="K187" s="51">
        <f>SUM(J186:J187)</f>
        <v>2</v>
      </c>
      <c r="L187" s="39"/>
      <c r="M187" s="39"/>
    </row>
    <row r="188" spans="1:13">
      <c r="A188" s="35" t="s">
        <v>529</v>
      </c>
      <c r="B188" s="35" t="s">
        <v>455</v>
      </c>
      <c r="C188" s="35" t="s">
        <v>456</v>
      </c>
      <c r="D188" s="36" t="s">
        <v>530</v>
      </c>
      <c r="E188" s="36"/>
      <c r="F188" s="36"/>
      <c r="G188" s="36"/>
      <c r="H188" s="36"/>
      <c r="I188" s="36"/>
      <c r="J188" s="36"/>
      <c r="K188" s="37">
        <v>3</v>
      </c>
      <c r="L188" s="37">
        <f>ROUND(17.32,3)</f>
        <v>17.32</v>
      </c>
      <c r="M188" s="38">
        <f t="shared" ref="M188:M194" si="5">ROUND(K188*L188,2)</f>
        <v>51.96</v>
      </c>
    </row>
    <row r="189" spans="1:13">
      <c r="A189" s="35" t="s">
        <v>527</v>
      </c>
      <c r="B189" s="35" t="s">
        <v>455</v>
      </c>
      <c r="C189" s="35" t="s">
        <v>456</v>
      </c>
      <c r="D189" s="36" t="s">
        <v>528</v>
      </c>
      <c r="E189" s="36"/>
      <c r="F189" s="36"/>
      <c r="G189" s="36"/>
      <c r="H189" s="36"/>
      <c r="I189" s="36"/>
      <c r="J189" s="36"/>
      <c r="K189" s="37">
        <v>3</v>
      </c>
      <c r="L189" s="37">
        <f>ROUND(20.33,3)</f>
        <v>20.329999999999998</v>
      </c>
      <c r="M189" s="38">
        <f t="shared" si="5"/>
        <v>60.99</v>
      </c>
    </row>
    <row r="190" spans="1:13" ht="22.5">
      <c r="A190" s="35" t="s">
        <v>531</v>
      </c>
      <c r="B190" s="35" t="s">
        <v>451</v>
      </c>
      <c r="C190" s="35" t="s">
        <v>56</v>
      </c>
      <c r="D190" s="36" t="s">
        <v>532</v>
      </c>
      <c r="E190" s="36"/>
      <c r="F190" s="36"/>
      <c r="G190" s="36"/>
      <c r="H190" s="36"/>
      <c r="I190" s="36"/>
      <c r="J190" s="36"/>
      <c r="K190" s="37">
        <v>3</v>
      </c>
      <c r="L190" s="37">
        <f>ROUND(0.4,3)</f>
        <v>0.4</v>
      </c>
      <c r="M190" s="38">
        <f t="shared" si="5"/>
        <v>1.2</v>
      </c>
    </row>
    <row r="191" spans="1:13">
      <c r="A191" s="35" t="s">
        <v>593</v>
      </c>
      <c r="B191" s="35" t="s">
        <v>451</v>
      </c>
      <c r="C191" s="35" t="s">
        <v>422</v>
      </c>
      <c r="D191" s="36" t="s">
        <v>594</v>
      </c>
      <c r="E191" s="36"/>
      <c r="F191" s="36"/>
      <c r="G191" s="36"/>
      <c r="H191" s="36"/>
      <c r="I191" s="36"/>
      <c r="J191" s="36"/>
      <c r="K191" s="37">
        <v>1</v>
      </c>
      <c r="L191" s="37">
        <f>ROUND(1039,3)</f>
        <v>1039</v>
      </c>
      <c r="M191" s="38">
        <f t="shared" si="5"/>
        <v>1039</v>
      </c>
    </row>
    <row r="192" spans="1:13">
      <c r="A192" s="35" t="s">
        <v>493</v>
      </c>
      <c r="B192" s="35" t="s">
        <v>455</v>
      </c>
      <c r="C192" s="35" t="s">
        <v>456</v>
      </c>
      <c r="D192" s="36" t="s">
        <v>494</v>
      </c>
      <c r="E192" s="36"/>
      <c r="F192" s="36"/>
      <c r="G192" s="36"/>
      <c r="H192" s="36"/>
      <c r="I192" s="36"/>
      <c r="J192" s="36"/>
      <c r="K192" s="37">
        <v>2</v>
      </c>
      <c r="L192" s="37">
        <f>ROUND(20.33,3)</f>
        <v>20.329999999999998</v>
      </c>
      <c r="M192" s="38">
        <f t="shared" si="5"/>
        <v>40.659999999999997</v>
      </c>
    </row>
    <row r="193" spans="1:13">
      <c r="A193" s="52"/>
      <c r="B193" s="52"/>
      <c r="C193" s="52"/>
      <c r="D193" s="53" t="s">
        <v>588</v>
      </c>
      <c r="E193" s="52"/>
      <c r="F193" s="52"/>
      <c r="G193" s="52"/>
      <c r="H193" s="52"/>
      <c r="I193" s="52"/>
      <c r="J193" s="52"/>
      <c r="K193" s="54">
        <v>2</v>
      </c>
      <c r="L193" s="55">
        <f>ROUND((M188+M189+M190+M191+M192)*(1+M2/100),2)</f>
        <v>1229.6199999999999</v>
      </c>
      <c r="M193" s="55">
        <f t="shared" si="5"/>
        <v>2459.2399999999998</v>
      </c>
    </row>
    <row r="194" spans="1:13">
      <c r="A194" s="56" t="s">
        <v>595</v>
      </c>
      <c r="B194" s="57" t="s">
        <v>431</v>
      </c>
      <c r="C194" s="57" t="s">
        <v>534</v>
      </c>
      <c r="D194" s="58" t="s">
        <v>535</v>
      </c>
      <c r="E194" s="58"/>
      <c r="F194" s="58"/>
      <c r="G194" s="58"/>
      <c r="H194" s="58"/>
      <c r="I194" s="58"/>
      <c r="J194" s="58"/>
      <c r="K194" s="59">
        <f>SUM(K197:K197)</f>
        <v>240</v>
      </c>
      <c r="L194" s="60">
        <f>L205</f>
        <v>6.65</v>
      </c>
      <c r="M194" s="60">
        <f t="shared" si="5"/>
        <v>1596</v>
      </c>
    </row>
    <row r="195" spans="1:13" ht="101.25">
      <c r="A195" s="39"/>
      <c r="B195" s="39"/>
      <c r="C195" s="39"/>
      <c r="D195" s="36" t="s">
        <v>536</v>
      </c>
      <c r="E195" s="36"/>
      <c r="F195" s="36"/>
      <c r="G195" s="36"/>
      <c r="H195" s="36"/>
      <c r="I195" s="36"/>
      <c r="J195" s="36"/>
      <c r="K195" s="36"/>
      <c r="L195" s="36"/>
      <c r="M195" s="36"/>
    </row>
    <row r="196" spans="1:13">
      <c r="A196" s="39"/>
      <c r="B196" s="39"/>
      <c r="C196" s="39"/>
      <c r="D196" s="39"/>
      <c r="E196" s="40"/>
      <c r="F196" s="41" t="s">
        <v>434</v>
      </c>
      <c r="G196" s="41" t="s">
        <v>435</v>
      </c>
      <c r="H196" s="41" t="s">
        <v>436</v>
      </c>
      <c r="I196" s="41" t="s">
        <v>437</v>
      </c>
      <c r="J196" s="41" t="s">
        <v>438</v>
      </c>
      <c r="K196" s="41" t="s">
        <v>439</v>
      </c>
      <c r="L196" s="39"/>
      <c r="M196" s="39"/>
    </row>
    <row r="197" spans="1:13">
      <c r="A197" s="39"/>
      <c r="B197" s="39"/>
      <c r="C197" s="39"/>
      <c r="D197" s="42"/>
      <c r="E197" s="43"/>
      <c r="F197" s="44">
        <v>240</v>
      </c>
      <c r="G197" s="45"/>
      <c r="H197" s="45"/>
      <c r="I197" s="45"/>
      <c r="J197" s="46">
        <f>ROUND(F197,3)</f>
        <v>240</v>
      </c>
      <c r="K197" s="47">
        <f>SUM(J197:J197)</f>
        <v>240</v>
      </c>
      <c r="L197" s="39"/>
      <c r="M197" s="39"/>
    </row>
    <row r="198" spans="1:13">
      <c r="A198" s="35" t="s">
        <v>537</v>
      </c>
      <c r="B198" s="35" t="s">
        <v>451</v>
      </c>
      <c r="C198" s="35" t="s">
        <v>538</v>
      </c>
      <c r="D198" s="36" t="s">
        <v>539</v>
      </c>
      <c r="E198" s="36"/>
      <c r="F198" s="36"/>
      <c r="G198" s="36"/>
      <c r="H198" s="36"/>
      <c r="I198" s="36"/>
      <c r="J198" s="36"/>
      <c r="K198" s="37">
        <v>1.4999999999999999E-2</v>
      </c>
      <c r="L198" s="37">
        <f>ROUND(78.89,3)</f>
        <v>78.89</v>
      </c>
      <c r="M198" s="38">
        <f t="shared" ref="M198:M203" si="6">ROUND(K198*L198,2)</f>
        <v>1.18</v>
      </c>
    </row>
    <row r="199" spans="1:13">
      <c r="A199" s="35" t="s">
        <v>540</v>
      </c>
      <c r="B199" s="35" t="s">
        <v>451</v>
      </c>
      <c r="C199" s="35" t="s">
        <v>538</v>
      </c>
      <c r="D199" s="36" t="s">
        <v>541</v>
      </c>
      <c r="E199" s="36"/>
      <c r="F199" s="36"/>
      <c r="G199" s="36"/>
      <c r="H199" s="36"/>
      <c r="I199" s="36"/>
      <c r="J199" s="36"/>
      <c r="K199" s="37">
        <v>6.0000000000000001E-3</v>
      </c>
      <c r="L199" s="37">
        <f>ROUND(1.5,3)</f>
        <v>1.5</v>
      </c>
      <c r="M199" s="38">
        <f t="shared" si="6"/>
        <v>0.01</v>
      </c>
    </row>
    <row r="200" spans="1:13" ht="22.5">
      <c r="A200" s="35" t="s">
        <v>542</v>
      </c>
      <c r="B200" s="35" t="s">
        <v>451</v>
      </c>
      <c r="C200" s="35" t="s">
        <v>543</v>
      </c>
      <c r="D200" s="36" t="s">
        <v>544</v>
      </c>
      <c r="E200" s="36"/>
      <c r="F200" s="36"/>
      <c r="G200" s="36"/>
      <c r="H200" s="36"/>
      <c r="I200" s="36"/>
      <c r="J200" s="36"/>
      <c r="K200" s="37">
        <v>1.9E-2</v>
      </c>
      <c r="L200" s="37">
        <f>ROUND(36.25,3)</f>
        <v>36.25</v>
      </c>
      <c r="M200" s="38">
        <f t="shared" si="6"/>
        <v>0.69</v>
      </c>
    </row>
    <row r="201" spans="1:13">
      <c r="A201" s="35" t="s">
        <v>545</v>
      </c>
      <c r="B201" s="35" t="s">
        <v>525</v>
      </c>
      <c r="C201" s="35" t="s">
        <v>456</v>
      </c>
      <c r="D201" s="36" t="s">
        <v>546</v>
      </c>
      <c r="E201" s="36"/>
      <c r="F201" s="36"/>
      <c r="G201" s="36"/>
      <c r="H201" s="36"/>
      <c r="I201" s="36"/>
      <c r="J201" s="36"/>
      <c r="K201" s="37">
        <v>5.0000000000000001E-3</v>
      </c>
      <c r="L201" s="37">
        <f>ROUND(25,3)</f>
        <v>25</v>
      </c>
      <c r="M201" s="38">
        <f t="shared" si="6"/>
        <v>0.13</v>
      </c>
    </row>
    <row r="202" spans="1:13">
      <c r="A202" s="35" t="s">
        <v>547</v>
      </c>
      <c r="B202" s="35" t="s">
        <v>455</v>
      </c>
      <c r="C202" s="35" t="s">
        <v>456</v>
      </c>
      <c r="D202" s="36" t="s">
        <v>548</v>
      </c>
      <c r="E202" s="36"/>
      <c r="F202" s="36"/>
      <c r="G202" s="36"/>
      <c r="H202" s="36"/>
      <c r="I202" s="36"/>
      <c r="J202" s="36"/>
      <c r="K202" s="37">
        <v>7.0000000000000007E-2</v>
      </c>
      <c r="L202" s="37">
        <f>ROUND(20.09,3)</f>
        <v>20.09</v>
      </c>
      <c r="M202" s="38">
        <f t="shared" si="6"/>
        <v>1.41</v>
      </c>
    </row>
    <row r="203" spans="1:13">
      <c r="A203" s="35" t="s">
        <v>549</v>
      </c>
      <c r="B203" s="35" t="s">
        <v>455</v>
      </c>
      <c r="C203" s="35" t="s">
        <v>456</v>
      </c>
      <c r="D203" s="36" t="s">
        <v>550</v>
      </c>
      <c r="E203" s="36"/>
      <c r="F203" s="36"/>
      <c r="G203" s="36"/>
      <c r="H203" s="36"/>
      <c r="I203" s="36"/>
      <c r="J203" s="36"/>
      <c r="K203" s="37">
        <v>0.17599999999999999</v>
      </c>
      <c r="L203" s="37">
        <f>ROUND(15.88,3)</f>
        <v>15.88</v>
      </c>
      <c r="M203" s="38">
        <f t="shared" si="6"/>
        <v>2.79</v>
      </c>
    </row>
    <row r="204" spans="1:13">
      <c r="A204" s="35" t="s">
        <v>460</v>
      </c>
      <c r="B204" s="35"/>
      <c r="C204" s="35" t="s">
        <v>460</v>
      </c>
      <c r="D204" s="36" t="s">
        <v>461</v>
      </c>
      <c r="E204" s="36"/>
      <c r="F204" s="36"/>
      <c r="G204" s="36"/>
      <c r="H204" s="36"/>
      <c r="I204" s="36"/>
      <c r="J204" s="36"/>
      <c r="K204" s="37">
        <v>4</v>
      </c>
      <c r="L204" s="37">
        <f>ROUND(6.21,3)</f>
        <v>6.21</v>
      </c>
      <c r="M204" s="38">
        <f>ROUND((K204*L204)/100,2)</f>
        <v>0.25</v>
      </c>
    </row>
    <row r="205" spans="1:13">
      <c r="A205" s="52"/>
      <c r="B205" s="52"/>
      <c r="C205" s="52"/>
      <c r="D205" s="53" t="s">
        <v>595</v>
      </c>
      <c r="E205" s="52"/>
      <c r="F205" s="52"/>
      <c r="G205" s="52"/>
      <c r="H205" s="52"/>
      <c r="I205" s="52"/>
      <c r="J205" s="52"/>
      <c r="K205" s="54">
        <v>240</v>
      </c>
      <c r="L205" s="55">
        <f>ROUND((M198+M199+M200+M201+M202+M203+M204)*(1+M2/100),2)</f>
        <v>6.65</v>
      </c>
      <c r="M205" s="55">
        <f>ROUND(K205*L205,2)</f>
        <v>1596</v>
      </c>
    </row>
    <row r="206" spans="1:13">
      <c r="A206" s="56" t="s">
        <v>596</v>
      </c>
      <c r="B206" s="57" t="s">
        <v>431</v>
      </c>
      <c r="C206" s="57" t="s">
        <v>3</v>
      </c>
      <c r="D206" s="58" t="s">
        <v>597</v>
      </c>
      <c r="E206" s="58"/>
      <c r="F206" s="58"/>
      <c r="G206" s="58"/>
      <c r="H206" s="58"/>
      <c r="I206" s="58"/>
      <c r="J206" s="58"/>
      <c r="K206" s="59">
        <f>SUM(K209:K209)</f>
        <v>1</v>
      </c>
      <c r="L206" s="60">
        <f>ROUND(560*(1+M2/100),2)</f>
        <v>576.79999999999995</v>
      </c>
      <c r="M206" s="60">
        <f>ROUND(K206*L206,2)</f>
        <v>576.79999999999995</v>
      </c>
    </row>
    <row r="207" spans="1:13">
      <c r="A207" s="39"/>
      <c r="B207" s="39"/>
      <c r="C207" s="39"/>
      <c r="D207" s="36" t="s">
        <v>597</v>
      </c>
      <c r="E207" s="36"/>
      <c r="F207" s="36"/>
      <c r="G207" s="36"/>
      <c r="H207" s="36"/>
      <c r="I207" s="36"/>
      <c r="J207" s="36"/>
      <c r="K207" s="36"/>
      <c r="L207" s="36"/>
      <c r="M207" s="36"/>
    </row>
    <row r="208" spans="1:13">
      <c r="A208" s="39"/>
      <c r="B208" s="39"/>
      <c r="C208" s="39"/>
      <c r="D208" s="39"/>
      <c r="E208" s="40"/>
      <c r="F208" s="41" t="s">
        <v>434</v>
      </c>
      <c r="G208" s="41" t="s">
        <v>435</v>
      </c>
      <c r="H208" s="41" t="s">
        <v>436</v>
      </c>
      <c r="I208" s="41" t="s">
        <v>437</v>
      </c>
      <c r="J208" s="41" t="s">
        <v>438</v>
      </c>
      <c r="K208" s="41" t="s">
        <v>439</v>
      </c>
      <c r="L208" s="39"/>
      <c r="M208" s="39"/>
    </row>
    <row r="209" spans="1:13">
      <c r="A209" s="39"/>
      <c r="B209" s="39"/>
      <c r="C209" s="39"/>
      <c r="D209" s="42"/>
      <c r="E209" s="43"/>
      <c r="F209" s="44">
        <v>1</v>
      </c>
      <c r="G209" s="45"/>
      <c r="H209" s="45"/>
      <c r="I209" s="45"/>
      <c r="J209" s="46">
        <f>ROUND(F209,3)</f>
        <v>1</v>
      </c>
      <c r="K209" s="47">
        <f>SUM(J209:J209)</f>
        <v>1</v>
      </c>
      <c r="L209" s="39"/>
      <c r="M209" s="39"/>
    </row>
    <row r="210" spans="1:13" ht="22.5">
      <c r="A210" s="34" t="s">
        <v>656</v>
      </c>
      <c r="B210" s="35" t="s">
        <v>431</v>
      </c>
      <c r="C210" s="35" t="s">
        <v>56</v>
      </c>
      <c r="D210" s="36" t="s">
        <v>599</v>
      </c>
      <c r="E210" s="36"/>
      <c r="F210" s="36"/>
      <c r="G210" s="36"/>
      <c r="H210" s="36"/>
      <c r="I210" s="36"/>
      <c r="J210" s="36"/>
      <c r="K210" s="37">
        <f>SUM(K213:K213)</f>
        <v>190.239</v>
      </c>
      <c r="L210" s="38">
        <f>L219</f>
        <v>42.23</v>
      </c>
      <c r="M210" s="38">
        <f>ROUND(K210*L210,2)</f>
        <v>8033.79</v>
      </c>
    </row>
    <row r="211" spans="1:13" ht="67.5">
      <c r="A211" s="39"/>
      <c r="B211" s="39"/>
      <c r="C211" s="39"/>
      <c r="D211" s="36" t="s">
        <v>600</v>
      </c>
      <c r="E211" s="36"/>
      <c r="F211" s="36"/>
      <c r="G211" s="36"/>
      <c r="H211" s="36"/>
      <c r="I211" s="36"/>
      <c r="J211" s="36"/>
      <c r="K211" s="36"/>
      <c r="L211" s="36"/>
      <c r="M211" s="36"/>
    </row>
    <row r="212" spans="1:13">
      <c r="A212" s="39"/>
      <c r="B212" s="39"/>
      <c r="C212" s="39"/>
      <c r="D212" s="39"/>
      <c r="E212" s="40"/>
      <c r="F212" s="41" t="s">
        <v>434</v>
      </c>
      <c r="G212" s="41" t="s">
        <v>435</v>
      </c>
      <c r="H212" s="41" t="s">
        <v>436</v>
      </c>
      <c r="I212" s="41" t="s">
        <v>437</v>
      </c>
      <c r="J212" s="41" t="s">
        <v>438</v>
      </c>
      <c r="K212" s="41" t="s">
        <v>439</v>
      </c>
      <c r="L212" s="39"/>
      <c r="M212" s="39"/>
    </row>
    <row r="213" spans="1:13">
      <c r="A213" s="39"/>
      <c r="B213" s="39"/>
      <c r="C213" s="39"/>
      <c r="D213" s="42"/>
      <c r="E213" s="43"/>
      <c r="F213" s="44">
        <v>190.239</v>
      </c>
      <c r="G213" s="45"/>
      <c r="H213" s="45"/>
      <c r="I213" s="45"/>
      <c r="J213" s="46">
        <f>ROUND(F213,3)</f>
        <v>190.239</v>
      </c>
      <c r="K213" s="47">
        <f>SUM(J213:J213)</f>
        <v>190.239</v>
      </c>
      <c r="L213" s="39"/>
      <c r="M213" s="39"/>
    </row>
    <row r="214" spans="1:13">
      <c r="A214" s="35" t="s">
        <v>601</v>
      </c>
      <c r="B214" s="35" t="s">
        <v>451</v>
      </c>
      <c r="C214" s="35" t="s">
        <v>56</v>
      </c>
      <c r="D214" s="36" t="s">
        <v>602</v>
      </c>
      <c r="E214" s="36"/>
      <c r="F214" s="36"/>
      <c r="G214" s="36"/>
      <c r="H214" s="36"/>
      <c r="I214" s="36"/>
      <c r="J214" s="36"/>
      <c r="K214" s="37">
        <v>1.05</v>
      </c>
      <c r="L214" s="37">
        <f>ROUND(33.08,3)</f>
        <v>33.08</v>
      </c>
      <c r="M214" s="38">
        <f>ROUND(K214*L214,2)</f>
        <v>34.729999999999997</v>
      </c>
    </row>
    <row r="215" spans="1:13">
      <c r="A215" s="35" t="s">
        <v>515</v>
      </c>
      <c r="B215" s="35" t="s">
        <v>451</v>
      </c>
      <c r="C215" s="35" t="s">
        <v>516</v>
      </c>
      <c r="D215" s="36" t="s">
        <v>517</v>
      </c>
      <c r="E215" s="36"/>
      <c r="F215" s="36"/>
      <c r="G215" s="36"/>
      <c r="H215" s="36"/>
      <c r="I215" s="36"/>
      <c r="J215" s="36"/>
      <c r="K215" s="37">
        <v>0.05</v>
      </c>
      <c r="L215" s="37">
        <f>ROUND(11.68,3)</f>
        <v>11.68</v>
      </c>
      <c r="M215" s="38">
        <f>ROUND(K215*L215,2)</f>
        <v>0.57999999999999996</v>
      </c>
    </row>
    <row r="216" spans="1:13">
      <c r="A216" s="35" t="s">
        <v>603</v>
      </c>
      <c r="B216" s="35" t="s">
        <v>455</v>
      </c>
      <c r="C216" s="35" t="s">
        <v>456</v>
      </c>
      <c r="D216" s="36" t="s">
        <v>604</v>
      </c>
      <c r="E216" s="36"/>
      <c r="F216" s="36"/>
      <c r="G216" s="36"/>
      <c r="H216" s="36"/>
      <c r="I216" s="36"/>
      <c r="J216" s="36"/>
      <c r="K216" s="37">
        <v>0.13</v>
      </c>
      <c r="L216" s="37">
        <f>ROUND(20.33,3)</f>
        <v>20.329999999999998</v>
      </c>
      <c r="M216" s="38">
        <f>ROUND(K216*L216,2)</f>
        <v>2.64</v>
      </c>
    </row>
    <row r="217" spans="1:13">
      <c r="A217" s="35" t="s">
        <v>605</v>
      </c>
      <c r="B217" s="35" t="s">
        <v>455</v>
      </c>
      <c r="C217" s="35" t="s">
        <v>456</v>
      </c>
      <c r="D217" s="36" t="s">
        <v>606</v>
      </c>
      <c r="E217" s="36"/>
      <c r="F217" s="36"/>
      <c r="G217" s="36"/>
      <c r="H217" s="36"/>
      <c r="I217" s="36"/>
      <c r="J217" s="36"/>
      <c r="K217" s="37">
        <v>0.13</v>
      </c>
      <c r="L217" s="37">
        <f>ROUND(17.34,3)</f>
        <v>17.34</v>
      </c>
      <c r="M217" s="38">
        <f>ROUND(K217*L217,2)</f>
        <v>2.25</v>
      </c>
    </row>
    <row r="218" spans="1:13">
      <c r="A218" s="35" t="s">
        <v>460</v>
      </c>
      <c r="B218" s="35"/>
      <c r="C218" s="35" t="s">
        <v>460</v>
      </c>
      <c r="D218" s="36" t="s">
        <v>461</v>
      </c>
      <c r="E218" s="36"/>
      <c r="F218" s="36"/>
      <c r="G218" s="36"/>
      <c r="H218" s="36"/>
      <c r="I218" s="36"/>
      <c r="J218" s="36"/>
      <c r="K218" s="37">
        <v>2</v>
      </c>
      <c r="L218" s="37">
        <f>ROUND(40.2,3)</f>
        <v>40.200000000000003</v>
      </c>
      <c r="M218" s="38">
        <f>ROUND((K218*L218)/100,2)</f>
        <v>0.8</v>
      </c>
    </row>
    <row r="219" spans="1:13">
      <c r="A219" s="52"/>
      <c r="B219" s="52"/>
      <c r="C219" s="52"/>
      <c r="D219" s="53" t="s">
        <v>656</v>
      </c>
      <c r="E219" s="52"/>
      <c r="F219" s="52"/>
      <c r="G219" s="52"/>
      <c r="H219" s="52"/>
      <c r="I219" s="52"/>
      <c r="J219" s="52"/>
      <c r="K219" s="54">
        <v>190.239</v>
      </c>
      <c r="L219" s="55">
        <f>ROUND((M214+M215+M216+M217+M218)*(1+M2/100),2)</f>
        <v>42.23</v>
      </c>
      <c r="M219" s="55">
        <f>ROUND(K219*L219,2)</f>
        <v>8033.79</v>
      </c>
    </row>
    <row r="220" spans="1:13" ht="22.5">
      <c r="A220" s="56" t="s">
        <v>830</v>
      </c>
      <c r="B220" s="57" t="s">
        <v>431</v>
      </c>
      <c r="C220" s="57" t="s">
        <v>3</v>
      </c>
      <c r="D220" s="58" t="s">
        <v>831</v>
      </c>
      <c r="E220" s="58"/>
      <c r="F220" s="58"/>
      <c r="G220" s="58"/>
      <c r="H220" s="58"/>
      <c r="I220" s="58"/>
      <c r="J220" s="58"/>
      <c r="K220" s="59">
        <f>SUM(K223:K223)</f>
        <v>2</v>
      </c>
      <c r="L220" s="60">
        <f>L229</f>
        <v>2887.92</v>
      </c>
      <c r="M220" s="60">
        <f>ROUND(K220*L220,2)</f>
        <v>5775.84</v>
      </c>
    </row>
    <row r="221" spans="1:13">
      <c r="A221" s="39"/>
      <c r="B221" s="39"/>
      <c r="C221" s="39"/>
      <c r="D221" s="36" t="s">
        <v>831</v>
      </c>
      <c r="E221" s="36"/>
      <c r="F221" s="36"/>
      <c r="G221" s="36"/>
      <c r="H221" s="36"/>
      <c r="I221" s="36"/>
      <c r="J221" s="36"/>
      <c r="K221" s="36"/>
      <c r="L221" s="36"/>
      <c r="M221" s="36"/>
    </row>
    <row r="222" spans="1:13">
      <c r="A222" s="39"/>
      <c r="B222" s="39"/>
      <c r="C222" s="39"/>
      <c r="D222" s="39"/>
      <c r="E222" s="40"/>
      <c r="F222" s="41" t="s">
        <v>434</v>
      </c>
      <c r="G222" s="41" t="s">
        <v>435</v>
      </c>
      <c r="H222" s="41" t="s">
        <v>436</v>
      </c>
      <c r="I222" s="41" t="s">
        <v>437</v>
      </c>
      <c r="J222" s="41" t="s">
        <v>438</v>
      </c>
      <c r="K222" s="41" t="s">
        <v>439</v>
      </c>
      <c r="L222" s="39"/>
      <c r="M222" s="39"/>
    </row>
    <row r="223" spans="1:13">
      <c r="A223" s="39"/>
      <c r="B223" s="39"/>
      <c r="C223" s="39"/>
      <c r="D223" s="42"/>
      <c r="E223" s="43"/>
      <c r="F223" s="44">
        <v>2</v>
      </c>
      <c r="G223" s="45"/>
      <c r="H223" s="45"/>
      <c r="I223" s="45"/>
      <c r="J223" s="46">
        <f>ROUND(F223,3)</f>
        <v>2</v>
      </c>
      <c r="K223" s="47">
        <f>SUM(J223:J223)</f>
        <v>2</v>
      </c>
      <c r="L223" s="39"/>
      <c r="M223" s="39"/>
    </row>
    <row r="224" spans="1:13">
      <c r="A224" s="35" t="s">
        <v>529</v>
      </c>
      <c r="B224" s="35" t="s">
        <v>455</v>
      </c>
      <c r="C224" s="35" t="s">
        <v>456</v>
      </c>
      <c r="D224" s="36" t="s">
        <v>530</v>
      </c>
      <c r="E224" s="36"/>
      <c r="F224" s="36"/>
      <c r="G224" s="36"/>
      <c r="H224" s="36"/>
      <c r="I224" s="36"/>
      <c r="J224" s="36"/>
      <c r="K224" s="37">
        <v>3</v>
      </c>
      <c r="L224" s="37">
        <f>ROUND(17.32,3)</f>
        <v>17.32</v>
      </c>
      <c r="M224" s="38">
        <f t="shared" ref="M224:M230" si="7">ROUND(K224*L224,2)</f>
        <v>51.96</v>
      </c>
    </row>
    <row r="225" spans="1:13">
      <c r="A225" s="35" t="s">
        <v>527</v>
      </c>
      <c r="B225" s="35" t="s">
        <v>455</v>
      </c>
      <c r="C225" s="35" t="s">
        <v>456</v>
      </c>
      <c r="D225" s="36" t="s">
        <v>528</v>
      </c>
      <c r="E225" s="36"/>
      <c r="F225" s="36"/>
      <c r="G225" s="36"/>
      <c r="H225" s="36"/>
      <c r="I225" s="36"/>
      <c r="J225" s="36"/>
      <c r="K225" s="37">
        <v>3</v>
      </c>
      <c r="L225" s="37">
        <f>ROUND(20.33,3)</f>
        <v>20.329999999999998</v>
      </c>
      <c r="M225" s="38">
        <f t="shared" si="7"/>
        <v>60.99</v>
      </c>
    </row>
    <row r="226" spans="1:13" ht="22.5">
      <c r="A226" s="35" t="s">
        <v>531</v>
      </c>
      <c r="B226" s="35" t="s">
        <v>451</v>
      </c>
      <c r="C226" s="35" t="s">
        <v>56</v>
      </c>
      <c r="D226" s="36" t="s">
        <v>532</v>
      </c>
      <c r="E226" s="36"/>
      <c r="F226" s="36"/>
      <c r="G226" s="36"/>
      <c r="H226" s="36"/>
      <c r="I226" s="36"/>
      <c r="J226" s="36"/>
      <c r="K226" s="37">
        <v>3</v>
      </c>
      <c r="L226" s="37">
        <f>ROUND(0.4,3)</f>
        <v>0.4</v>
      </c>
      <c r="M226" s="38">
        <f t="shared" si="7"/>
        <v>1.2</v>
      </c>
    </row>
    <row r="227" spans="1:13">
      <c r="A227" s="35" t="s">
        <v>832</v>
      </c>
      <c r="B227" s="35" t="s">
        <v>525</v>
      </c>
      <c r="C227" s="35" t="s">
        <v>3</v>
      </c>
      <c r="D227" s="36" t="s">
        <v>833</v>
      </c>
      <c r="E227" s="36"/>
      <c r="F227" s="36"/>
      <c r="G227" s="36"/>
      <c r="H227" s="36"/>
      <c r="I227" s="36"/>
      <c r="J227" s="36"/>
      <c r="K227" s="37">
        <v>1</v>
      </c>
      <c r="L227" s="37">
        <f>ROUND(2649,3)</f>
        <v>2649</v>
      </c>
      <c r="M227" s="38">
        <f t="shared" si="7"/>
        <v>2649</v>
      </c>
    </row>
    <row r="228" spans="1:13">
      <c r="A228" s="35" t="s">
        <v>493</v>
      </c>
      <c r="B228" s="35" t="s">
        <v>455</v>
      </c>
      <c r="C228" s="35" t="s">
        <v>456</v>
      </c>
      <c r="D228" s="36" t="s">
        <v>494</v>
      </c>
      <c r="E228" s="36"/>
      <c r="F228" s="36"/>
      <c r="G228" s="36"/>
      <c r="H228" s="36"/>
      <c r="I228" s="36"/>
      <c r="J228" s="36"/>
      <c r="K228" s="37">
        <v>2</v>
      </c>
      <c r="L228" s="37">
        <f>ROUND(20.33,3)</f>
        <v>20.329999999999998</v>
      </c>
      <c r="M228" s="38">
        <f t="shared" si="7"/>
        <v>40.659999999999997</v>
      </c>
    </row>
    <row r="229" spans="1:13">
      <c r="A229" s="52"/>
      <c r="B229" s="52"/>
      <c r="C229" s="52"/>
      <c r="D229" s="53" t="s">
        <v>830</v>
      </c>
      <c r="E229" s="52"/>
      <c r="F229" s="52"/>
      <c r="G229" s="52"/>
      <c r="H229" s="52"/>
      <c r="I229" s="52"/>
      <c r="J229" s="52"/>
      <c r="K229" s="54">
        <v>2</v>
      </c>
      <c r="L229" s="55">
        <f>ROUND((M224+M225+M226+M227+M228)*(1+M2/100),2)</f>
        <v>2887.92</v>
      </c>
      <c r="M229" s="55">
        <f t="shared" si="7"/>
        <v>5775.84</v>
      </c>
    </row>
    <row r="230" spans="1:13">
      <c r="A230" s="56" t="s">
        <v>612</v>
      </c>
      <c r="B230" s="57" t="s">
        <v>431</v>
      </c>
      <c r="C230" s="57" t="s">
        <v>3</v>
      </c>
      <c r="D230" s="58" t="s">
        <v>613</v>
      </c>
      <c r="E230" s="58"/>
      <c r="F230" s="58"/>
      <c r="G230" s="58"/>
      <c r="H230" s="58"/>
      <c r="I230" s="58"/>
      <c r="J230" s="58"/>
      <c r="K230" s="59">
        <f>ROUND(10,2)</f>
        <v>10</v>
      </c>
      <c r="L230" s="60">
        <f>L236</f>
        <v>223.01</v>
      </c>
      <c r="M230" s="60">
        <f t="shared" si="7"/>
        <v>2230.1</v>
      </c>
    </row>
    <row r="231" spans="1:13">
      <c r="A231" s="39"/>
      <c r="B231" s="39"/>
      <c r="C231" s="39"/>
      <c r="D231" s="36" t="s">
        <v>614</v>
      </c>
      <c r="E231" s="36"/>
      <c r="F231" s="36"/>
      <c r="G231" s="36"/>
      <c r="H231" s="36"/>
      <c r="I231" s="36"/>
      <c r="J231" s="36"/>
      <c r="K231" s="36"/>
      <c r="L231" s="36"/>
      <c r="M231" s="36"/>
    </row>
    <row r="232" spans="1:13">
      <c r="A232" s="35" t="s">
        <v>529</v>
      </c>
      <c r="B232" s="35" t="s">
        <v>455</v>
      </c>
      <c r="C232" s="35" t="s">
        <v>456</v>
      </c>
      <c r="D232" s="36" t="s">
        <v>530</v>
      </c>
      <c r="E232" s="36"/>
      <c r="F232" s="36"/>
      <c r="G232" s="36"/>
      <c r="H232" s="36"/>
      <c r="I232" s="36"/>
      <c r="J232" s="36"/>
      <c r="K232" s="37">
        <v>1</v>
      </c>
      <c r="L232" s="37">
        <f>ROUND(17.32,3)</f>
        <v>17.32</v>
      </c>
      <c r="M232" s="38">
        <f t="shared" ref="M232:M237" si="8">ROUND(K232*L232,2)</f>
        <v>17.32</v>
      </c>
    </row>
    <row r="233" spans="1:13">
      <c r="A233" s="35" t="s">
        <v>527</v>
      </c>
      <c r="B233" s="35" t="s">
        <v>455</v>
      </c>
      <c r="C233" s="35" t="s">
        <v>456</v>
      </c>
      <c r="D233" s="36" t="s">
        <v>528</v>
      </c>
      <c r="E233" s="36"/>
      <c r="F233" s="36"/>
      <c r="G233" s="36"/>
      <c r="H233" s="36"/>
      <c r="I233" s="36"/>
      <c r="J233" s="36"/>
      <c r="K233" s="37">
        <v>1</v>
      </c>
      <c r="L233" s="37">
        <f>ROUND(20.33,3)</f>
        <v>20.329999999999998</v>
      </c>
      <c r="M233" s="38">
        <f t="shared" si="8"/>
        <v>20.329999999999998</v>
      </c>
    </row>
    <row r="234" spans="1:13">
      <c r="A234" s="35" t="s">
        <v>615</v>
      </c>
      <c r="B234" s="35" t="s">
        <v>451</v>
      </c>
      <c r="C234" s="35" t="s">
        <v>3</v>
      </c>
      <c r="D234" s="36" t="s">
        <v>616</v>
      </c>
      <c r="E234" s="36"/>
      <c r="F234" s="36"/>
      <c r="G234" s="36"/>
      <c r="H234" s="36"/>
      <c r="I234" s="36"/>
      <c r="J234" s="36"/>
      <c r="K234" s="37">
        <v>1</v>
      </c>
      <c r="L234" s="37">
        <f>ROUND(152.23,3)</f>
        <v>152.22999999999999</v>
      </c>
      <c r="M234" s="38">
        <f t="shared" si="8"/>
        <v>152.22999999999999</v>
      </c>
    </row>
    <row r="235" spans="1:13">
      <c r="A235" s="35" t="s">
        <v>617</v>
      </c>
      <c r="B235" s="35" t="s">
        <v>451</v>
      </c>
      <c r="C235" s="35" t="s">
        <v>3</v>
      </c>
      <c r="D235" s="36" t="s">
        <v>618</v>
      </c>
      <c r="E235" s="36"/>
      <c r="F235" s="36"/>
      <c r="G235" s="36"/>
      <c r="H235" s="36"/>
      <c r="I235" s="36"/>
      <c r="J235" s="36"/>
      <c r="K235" s="37">
        <v>1</v>
      </c>
      <c r="L235" s="37">
        <f>ROUND(26.63,3)</f>
        <v>26.63</v>
      </c>
      <c r="M235" s="38">
        <f t="shared" si="8"/>
        <v>26.63</v>
      </c>
    </row>
    <row r="236" spans="1:13">
      <c r="A236" s="52"/>
      <c r="B236" s="52"/>
      <c r="C236" s="52"/>
      <c r="D236" s="53" t="s">
        <v>612</v>
      </c>
      <c r="E236" s="52"/>
      <c r="F236" s="52"/>
      <c r="G236" s="52"/>
      <c r="H236" s="52"/>
      <c r="I236" s="52"/>
      <c r="J236" s="52"/>
      <c r="K236" s="54">
        <v>10</v>
      </c>
      <c r="L236" s="55">
        <f>ROUND((M232+M233+M234+M235)*(1+M2/100),2)</f>
        <v>223.01</v>
      </c>
      <c r="M236" s="55">
        <f t="shared" si="8"/>
        <v>2230.1</v>
      </c>
    </row>
    <row r="237" spans="1:13">
      <c r="A237" s="56" t="s">
        <v>619</v>
      </c>
      <c r="B237" s="57" t="s">
        <v>431</v>
      </c>
      <c r="C237" s="57" t="s">
        <v>3</v>
      </c>
      <c r="D237" s="58" t="s">
        <v>620</v>
      </c>
      <c r="E237" s="58"/>
      <c r="F237" s="58"/>
      <c r="G237" s="58"/>
      <c r="H237" s="58"/>
      <c r="I237" s="58"/>
      <c r="J237" s="58"/>
      <c r="K237" s="59">
        <f>ROUND(1,2)</f>
        <v>1</v>
      </c>
      <c r="L237" s="60">
        <f>ROUND(1500*(1+M2/100),2)</f>
        <v>1545</v>
      </c>
      <c r="M237" s="60">
        <f t="shared" si="8"/>
        <v>1545</v>
      </c>
    </row>
    <row r="238" spans="1:13">
      <c r="A238" s="39"/>
      <c r="B238" s="39"/>
      <c r="C238" s="39"/>
      <c r="D238" s="36" t="s">
        <v>621</v>
      </c>
      <c r="E238" s="36"/>
      <c r="F238" s="36"/>
      <c r="G238" s="36"/>
      <c r="H238" s="36"/>
      <c r="I238" s="36"/>
      <c r="J238" s="36"/>
      <c r="K238" s="36"/>
      <c r="L238" s="36"/>
      <c r="M238" s="36"/>
    </row>
    <row r="239" spans="1:13">
      <c r="A239" s="34" t="s">
        <v>622</v>
      </c>
      <c r="B239" s="35" t="s">
        <v>431</v>
      </c>
      <c r="C239" s="35" t="s">
        <v>3</v>
      </c>
      <c r="D239" s="36" t="s">
        <v>623</v>
      </c>
      <c r="E239" s="36"/>
      <c r="F239" s="36"/>
      <c r="G239" s="36"/>
      <c r="H239" s="36"/>
      <c r="I239" s="36"/>
      <c r="J239" s="36"/>
      <c r="K239" s="37">
        <f>ROUND(10,2)</f>
        <v>10</v>
      </c>
      <c r="L239" s="38">
        <f>L245</f>
        <v>1595.6</v>
      </c>
      <c r="M239" s="38">
        <f>ROUND(K239*L239,2)</f>
        <v>15956</v>
      </c>
    </row>
    <row r="240" spans="1:13">
      <c r="A240" s="39"/>
      <c r="B240" s="39"/>
      <c r="C240" s="39"/>
      <c r="D240" s="36" t="s">
        <v>624</v>
      </c>
      <c r="E240" s="36"/>
      <c r="F240" s="36"/>
      <c r="G240" s="36"/>
      <c r="H240" s="36"/>
      <c r="I240" s="36"/>
      <c r="J240" s="36"/>
      <c r="K240" s="36"/>
      <c r="L240" s="36"/>
      <c r="M240" s="36"/>
    </row>
    <row r="241" spans="1:13">
      <c r="A241" s="35" t="s">
        <v>529</v>
      </c>
      <c r="B241" s="35" t="s">
        <v>455</v>
      </c>
      <c r="C241" s="35" t="s">
        <v>456</v>
      </c>
      <c r="D241" s="36" t="s">
        <v>530</v>
      </c>
      <c r="E241" s="36"/>
      <c r="F241" s="36"/>
      <c r="G241" s="36"/>
      <c r="H241" s="36"/>
      <c r="I241" s="36"/>
      <c r="J241" s="36"/>
      <c r="K241" s="37">
        <v>0.88</v>
      </c>
      <c r="L241" s="37">
        <f>ROUND(17.32,3)</f>
        <v>17.32</v>
      </c>
      <c r="M241" s="38">
        <f t="shared" ref="M241:M246" si="9">ROUND(K241*L241,2)</f>
        <v>15.24</v>
      </c>
    </row>
    <row r="242" spans="1:13">
      <c r="A242" s="35" t="s">
        <v>527</v>
      </c>
      <c r="B242" s="35" t="s">
        <v>455</v>
      </c>
      <c r="C242" s="35" t="s">
        <v>456</v>
      </c>
      <c r="D242" s="36" t="s">
        <v>528</v>
      </c>
      <c r="E242" s="36"/>
      <c r="F242" s="36"/>
      <c r="G242" s="36"/>
      <c r="H242" s="36"/>
      <c r="I242" s="36"/>
      <c r="J242" s="36"/>
      <c r="K242" s="37">
        <v>0.88</v>
      </c>
      <c r="L242" s="37">
        <f>ROUND(20.33,3)</f>
        <v>20.329999999999998</v>
      </c>
      <c r="M242" s="38">
        <f t="shared" si="9"/>
        <v>17.89</v>
      </c>
    </row>
    <row r="243" spans="1:13">
      <c r="A243" s="35" t="s">
        <v>625</v>
      </c>
      <c r="B243" s="35" t="s">
        <v>451</v>
      </c>
      <c r="C243" s="35" t="s">
        <v>3</v>
      </c>
      <c r="D243" s="36" t="s">
        <v>626</v>
      </c>
      <c r="E243" s="36"/>
      <c r="F243" s="36"/>
      <c r="G243" s="36"/>
      <c r="H243" s="36"/>
      <c r="I243" s="36"/>
      <c r="J243" s="36"/>
      <c r="K243" s="37">
        <v>1</v>
      </c>
      <c r="L243" s="37">
        <f>ROUND(1512.4,3)</f>
        <v>1512.4</v>
      </c>
      <c r="M243" s="38">
        <f t="shared" si="9"/>
        <v>1512.4</v>
      </c>
    </row>
    <row r="244" spans="1:13" ht="22.5">
      <c r="A244" s="35" t="s">
        <v>531</v>
      </c>
      <c r="B244" s="35" t="s">
        <v>451</v>
      </c>
      <c r="C244" s="35" t="s">
        <v>56</v>
      </c>
      <c r="D244" s="36" t="s">
        <v>532</v>
      </c>
      <c r="E244" s="36"/>
      <c r="F244" s="36"/>
      <c r="G244" s="36"/>
      <c r="H244" s="36"/>
      <c r="I244" s="36"/>
      <c r="J244" s="36"/>
      <c r="K244" s="37">
        <v>9</v>
      </c>
      <c r="L244" s="37">
        <f>ROUND(0.4,3)</f>
        <v>0.4</v>
      </c>
      <c r="M244" s="38">
        <f t="shared" si="9"/>
        <v>3.6</v>
      </c>
    </row>
    <row r="245" spans="1:13">
      <c r="A245" s="52"/>
      <c r="B245" s="52"/>
      <c r="C245" s="52"/>
      <c r="D245" s="53" t="s">
        <v>622</v>
      </c>
      <c r="E245" s="52"/>
      <c r="F245" s="52"/>
      <c r="G245" s="52"/>
      <c r="H245" s="52"/>
      <c r="I245" s="52"/>
      <c r="J245" s="52"/>
      <c r="K245" s="54">
        <v>10</v>
      </c>
      <c r="L245" s="55">
        <f>ROUND((M241+M242+M243+M244)*(1+M2/100),2)</f>
        <v>1595.6</v>
      </c>
      <c r="M245" s="55">
        <f t="shared" si="9"/>
        <v>15956</v>
      </c>
    </row>
    <row r="246" spans="1:13">
      <c r="A246" s="56" t="s">
        <v>627</v>
      </c>
      <c r="B246" s="57" t="s">
        <v>431</v>
      </c>
      <c r="C246" s="57" t="s">
        <v>3</v>
      </c>
      <c r="D246" s="58" t="s">
        <v>628</v>
      </c>
      <c r="E246" s="58"/>
      <c r="F246" s="58"/>
      <c r="G246" s="58"/>
      <c r="H246" s="58"/>
      <c r="I246" s="58"/>
      <c r="J246" s="58"/>
      <c r="K246" s="59">
        <f>ROUND(10,2)</f>
        <v>10</v>
      </c>
      <c r="L246" s="60">
        <f>L251</f>
        <v>192.57</v>
      </c>
      <c r="M246" s="60">
        <f t="shared" si="9"/>
        <v>1925.7</v>
      </c>
    </row>
    <row r="247" spans="1:13">
      <c r="A247" s="39"/>
      <c r="B247" s="39"/>
      <c r="C247" s="39"/>
      <c r="D247" s="36" t="s">
        <v>629</v>
      </c>
      <c r="E247" s="36"/>
      <c r="F247" s="36"/>
      <c r="G247" s="36"/>
      <c r="H247" s="36"/>
      <c r="I247" s="36"/>
      <c r="J247" s="36"/>
      <c r="K247" s="36"/>
      <c r="L247" s="36"/>
      <c r="M247" s="36"/>
    </row>
    <row r="248" spans="1:13">
      <c r="A248" s="35" t="s">
        <v>529</v>
      </c>
      <c r="B248" s="35" t="s">
        <v>455</v>
      </c>
      <c r="C248" s="35" t="s">
        <v>456</v>
      </c>
      <c r="D248" s="36" t="s">
        <v>530</v>
      </c>
      <c r="E248" s="36"/>
      <c r="F248" s="36"/>
      <c r="G248" s="36"/>
      <c r="H248" s="36"/>
      <c r="I248" s="36"/>
      <c r="J248" s="36"/>
      <c r="K248" s="37">
        <v>1</v>
      </c>
      <c r="L248" s="37">
        <f>ROUND(17.32,3)</f>
        <v>17.32</v>
      </c>
      <c r="M248" s="38">
        <f>ROUND(K248*L248,2)</f>
        <v>17.32</v>
      </c>
    </row>
    <row r="249" spans="1:13">
      <c r="A249" s="35" t="s">
        <v>458</v>
      </c>
      <c r="B249" s="35" t="s">
        <v>455</v>
      </c>
      <c r="C249" s="35" t="s">
        <v>456</v>
      </c>
      <c r="D249" s="36" t="s">
        <v>459</v>
      </c>
      <c r="E249" s="36"/>
      <c r="F249" s="36"/>
      <c r="G249" s="36"/>
      <c r="H249" s="36"/>
      <c r="I249" s="36"/>
      <c r="J249" s="36"/>
      <c r="K249" s="37">
        <v>1</v>
      </c>
      <c r="L249" s="37">
        <f>ROUND(17.32,3)</f>
        <v>17.32</v>
      </c>
      <c r="M249" s="38">
        <f>ROUND(K249*L249,2)</f>
        <v>17.32</v>
      </c>
    </row>
    <row r="250" spans="1:13">
      <c r="A250" s="35" t="s">
        <v>630</v>
      </c>
      <c r="B250" s="35" t="s">
        <v>451</v>
      </c>
      <c r="C250" s="35" t="s">
        <v>3</v>
      </c>
      <c r="D250" s="36" t="s">
        <v>631</v>
      </c>
      <c r="E250" s="36"/>
      <c r="F250" s="36"/>
      <c r="G250" s="36"/>
      <c r="H250" s="36"/>
      <c r="I250" s="36"/>
      <c r="J250" s="36"/>
      <c r="K250" s="37">
        <v>1</v>
      </c>
      <c r="L250" s="37">
        <f>ROUND(152.32,3)</f>
        <v>152.32</v>
      </c>
      <c r="M250" s="38">
        <f>ROUND(K250*L250,2)</f>
        <v>152.32</v>
      </c>
    </row>
    <row r="251" spans="1:13">
      <c r="A251" s="52"/>
      <c r="B251" s="52"/>
      <c r="C251" s="52"/>
      <c r="D251" s="53" t="s">
        <v>627</v>
      </c>
      <c r="E251" s="52"/>
      <c r="F251" s="52"/>
      <c r="G251" s="52"/>
      <c r="H251" s="52"/>
      <c r="I251" s="52"/>
      <c r="J251" s="52"/>
      <c r="K251" s="54">
        <v>10</v>
      </c>
      <c r="L251" s="55">
        <f>ROUND((M248+M249+M250)*(1+M2/100),2)</f>
        <v>192.57</v>
      </c>
      <c r="M251" s="55">
        <f>ROUND(K251*L251,2)</f>
        <v>1925.7</v>
      </c>
    </row>
    <row r="252" spans="1:13">
      <c r="A252" s="56" t="s">
        <v>632</v>
      </c>
      <c r="B252" s="57" t="s">
        <v>431</v>
      </c>
      <c r="C252" s="57" t="s">
        <v>422</v>
      </c>
      <c r="D252" s="58" t="s">
        <v>633</v>
      </c>
      <c r="E252" s="58"/>
      <c r="F252" s="58"/>
      <c r="G252" s="58"/>
      <c r="H252" s="58"/>
      <c r="I252" s="58"/>
      <c r="J252" s="58"/>
      <c r="K252" s="59">
        <f>ROUND(10,2)</f>
        <v>10</v>
      </c>
      <c r="L252" s="60">
        <f>L257</f>
        <v>47.15</v>
      </c>
      <c r="M252" s="60">
        <f>ROUND(K252*L252,2)</f>
        <v>471.5</v>
      </c>
    </row>
    <row r="253" spans="1:13" ht="56.25">
      <c r="A253" s="39"/>
      <c r="B253" s="39"/>
      <c r="C253" s="39"/>
      <c r="D253" s="36" t="s">
        <v>634</v>
      </c>
      <c r="E253" s="36"/>
      <c r="F253" s="36"/>
      <c r="G253" s="36"/>
      <c r="H253" s="36"/>
      <c r="I253" s="36"/>
      <c r="J253" s="36"/>
      <c r="K253" s="36"/>
      <c r="L253" s="36"/>
      <c r="M253" s="36"/>
    </row>
    <row r="254" spans="1:13" ht="22.5">
      <c r="A254" s="35" t="s">
        <v>635</v>
      </c>
      <c r="B254" s="35" t="s">
        <v>451</v>
      </c>
      <c r="C254" s="35" t="s">
        <v>422</v>
      </c>
      <c r="D254" s="36" t="s">
        <v>636</v>
      </c>
      <c r="E254" s="36"/>
      <c r="F254" s="36"/>
      <c r="G254" s="36"/>
      <c r="H254" s="36"/>
      <c r="I254" s="36"/>
      <c r="J254" s="36"/>
      <c r="K254" s="37">
        <v>1</v>
      </c>
      <c r="L254" s="37">
        <f>ROUND(39.29,3)</f>
        <v>39.29</v>
      </c>
      <c r="M254" s="38">
        <f>ROUND(K254*L254,2)</f>
        <v>39.29</v>
      </c>
    </row>
    <row r="255" spans="1:13">
      <c r="A255" s="35" t="s">
        <v>493</v>
      </c>
      <c r="B255" s="35" t="s">
        <v>455</v>
      </c>
      <c r="C255" s="35" t="s">
        <v>456</v>
      </c>
      <c r="D255" s="36" t="s">
        <v>494</v>
      </c>
      <c r="E255" s="36"/>
      <c r="F255" s="36"/>
      <c r="G255" s="36"/>
      <c r="H255" s="36"/>
      <c r="I255" s="36"/>
      <c r="J255" s="36"/>
      <c r="K255" s="37">
        <v>0.27500000000000002</v>
      </c>
      <c r="L255" s="37">
        <f>ROUND(20.33,3)</f>
        <v>20.329999999999998</v>
      </c>
      <c r="M255" s="38">
        <f>ROUND(K255*L255,2)</f>
        <v>5.59</v>
      </c>
    </row>
    <row r="256" spans="1:13">
      <c r="A256" s="35" t="s">
        <v>460</v>
      </c>
      <c r="B256" s="35"/>
      <c r="C256" s="35" t="s">
        <v>460</v>
      </c>
      <c r="D256" s="36" t="s">
        <v>461</v>
      </c>
      <c r="E256" s="36"/>
      <c r="F256" s="36"/>
      <c r="G256" s="36"/>
      <c r="H256" s="36"/>
      <c r="I256" s="36"/>
      <c r="J256" s="36"/>
      <c r="K256" s="37">
        <v>2</v>
      </c>
      <c r="L256" s="37">
        <f>ROUND(44.88,3)</f>
        <v>44.88</v>
      </c>
      <c r="M256" s="38">
        <f>ROUND((K256*L256)/100,2)</f>
        <v>0.9</v>
      </c>
    </row>
    <row r="257" spans="1:13">
      <c r="A257" s="52"/>
      <c r="B257" s="52"/>
      <c r="C257" s="52"/>
      <c r="D257" s="53" t="s">
        <v>632</v>
      </c>
      <c r="E257" s="52"/>
      <c r="F257" s="52"/>
      <c r="G257" s="52"/>
      <c r="H257" s="52"/>
      <c r="I257" s="52"/>
      <c r="J257" s="52"/>
      <c r="K257" s="54">
        <v>10</v>
      </c>
      <c r="L257" s="55">
        <f>ROUND((M254+M255+M256)*(1+M2/100),2)</f>
        <v>47.15</v>
      </c>
      <c r="M257" s="55">
        <f>ROUND(K257*L257,2)</f>
        <v>471.5</v>
      </c>
    </row>
    <row r="258" spans="1:13">
      <c r="A258" s="56" t="s">
        <v>637</v>
      </c>
      <c r="B258" s="57" t="s">
        <v>431</v>
      </c>
      <c r="C258" s="57" t="s">
        <v>3</v>
      </c>
      <c r="D258" s="58" t="s">
        <v>638</v>
      </c>
      <c r="E258" s="58"/>
      <c r="F258" s="58"/>
      <c r="G258" s="58"/>
      <c r="H258" s="58"/>
      <c r="I258" s="58"/>
      <c r="J258" s="58"/>
      <c r="K258" s="59">
        <f>ROUND(10,2)</f>
        <v>10</v>
      </c>
      <c r="L258" s="60">
        <f>ROUND(241*(1+M2/100),2)</f>
        <v>248.23</v>
      </c>
      <c r="M258" s="60">
        <f>ROUND(K258*L258,2)</f>
        <v>2482.3000000000002</v>
      </c>
    </row>
    <row r="259" spans="1:13">
      <c r="A259" s="39"/>
      <c r="B259" s="39"/>
      <c r="C259" s="39"/>
      <c r="D259" s="36" t="s">
        <v>639</v>
      </c>
      <c r="E259" s="36"/>
      <c r="F259" s="36"/>
      <c r="G259" s="36"/>
      <c r="H259" s="36"/>
      <c r="I259" s="36"/>
      <c r="J259" s="36"/>
      <c r="K259" s="36"/>
      <c r="L259" s="36"/>
      <c r="M259" s="36"/>
    </row>
    <row r="260" spans="1:13">
      <c r="A260" s="52"/>
      <c r="B260" s="52"/>
      <c r="C260" s="52"/>
      <c r="D260" s="72" t="s">
        <v>556</v>
      </c>
      <c r="E260" s="73"/>
      <c r="F260" s="73"/>
      <c r="G260" s="73"/>
      <c r="H260" s="73"/>
      <c r="I260" s="73"/>
      <c r="J260" s="73"/>
      <c r="K260" s="73"/>
      <c r="L260" s="74">
        <f>M155+M168+M179+M183+M194+M206+M210+M220+M230+M237+M239+M246+M252+M258</f>
        <v>50139</v>
      </c>
      <c r="M260" s="74">
        <f>ROUND(L260,2)</f>
        <v>50139</v>
      </c>
    </row>
    <row r="261" spans="1:13">
      <c r="A261" s="75" t="s">
        <v>640</v>
      </c>
      <c r="B261" s="75" t="s">
        <v>428</v>
      </c>
      <c r="C261" s="76"/>
      <c r="D261" s="77" t="s">
        <v>641</v>
      </c>
      <c r="E261" s="77"/>
      <c r="F261" s="77"/>
      <c r="G261" s="77"/>
      <c r="H261" s="77"/>
      <c r="I261" s="77"/>
      <c r="J261" s="77"/>
      <c r="K261" s="76"/>
      <c r="L261" s="78">
        <f>L357</f>
        <v>46968.97</v>
      </c>
      <c r="M261" s="78">
        <f>ROUND(L261,2)</f>
        <v>46968.97</v>
      </c>
    </row>
    <row r="262" spans="1:13" ht="33.75">
      <c r="A262" s="34" t="s">
        <v>643</v>
      </c>
      <c r="B262" s="35" t="s">
        <v>431</v>
      </c>
      <c r="C262" s="35" t="s">
        <v>56</v>
      </c>
      <c r="D262" s="36" t="s">
        <v>569</v>
      </c>
      <c r="E262" s="36"/>
      <c r="F262" s="36"/>
      <c r="G262" s="36"/>
      <c r="H262" s="36"/>
      <c r="I262" s="36"/>
      <c r="J262" s="36"/>
      <c r="K262" s="37">
        <f>SUM(K265:K266)</f>
        <v>190.239</v>
      </c>
      <c r="L262" s="38">
        <f>L274</f>
        <v>32.51</v>
      </c>
      <c r="M262" s="38">
        <f>ROUND(K262*L262,2)</f>
        <v>6184.67</v>
      </c>
    </row>
    <row r="263" spans="1:13" ht="101.25">
      <c r="A263" s="39"/>
      <c r="B263" s="39"/>
      <c r="C263" s="39"/>
      <c r="D263" s="36" t="s">
        <v>570</v>
      </c>
      <c r="E263" s="36"/>
      <c r="F263" s="36"/>
      <c r="G263" s="36"/>
      <c r="H263" s="36"/>
      <c r="I263" s="36"/>
      <c r="J263" s="36"/>
      <c r="K263" s="36"/>
      <c r="L263" s="36"/>
      <c r="M263" s="36"/>
    </row>
    <row r="264" spans="1:13">
      <c r="A264" s="39"/>
      <c r="B264" s="39"/>
      <c r="C264" s="39"/>
      <c r="D264" s="39"/>
      <c r="E264" s="40"/>
      <c r="F264" s="41" t="s">
        <v>434</v>
      </c>
      <c r="G264" s="41" t="s">
        <v>435</v>
      </c>
      <c r="H264" s="41" t="s">
        <v>436</v>
      </c>
      <c r="I264" s="41" t="s">
        <v>437</v>
      </c>
      <c r="J264" s="41" t="s">
        <v>438</v>
      </c>
      <c r="K264" s="41" t="s">
        <v>439</v>
      </c>
      <c r="L264" s="39"/>
      <c r="M264" s="39"/>
    </row>
    <row r="265" spans="1:13" ht="33.75">
      <c r="A265" s="39"/>
      <c r="B265" s="39"/>
      <c r="C265" s="39"/>
      <c r="D265" s="42"/>
      <c r="E265" s="43" t="s">
        <v>823</v>
      </c>
      <c r="F265" s="44">
        <v>2</v>
      </c>
      <c r="G265" s="45">
        <v>43.74</v>
      </c>
      <c r="H265" s="45">
        <v>1.05</v>
      </c>
      <c r="I265" s="45"/>
      <c r="J265" s="46">
        <f>ROUND(F265*G265*H265,3)</f>
        <v>91.853999999999999</v>
      </c>
      <c r="K265" s="48"/>
      <c r="L265" s="39"/>
      <c r="M265" s="39"/>
    </row>
    <row r="266" spans="1:13" ht="33.75">
      <c r="A266" s="39"/>
      <c r="B266" s="39"/>
      <c r="C266" s="39"/>
      <c r="D266" s="42"/>
      <c r="E266" s="35" t="s">
        <v>824</v>
      </c>
      <c r="F266" s="49">
        <v>2</v>
      </c>
      <c r="G266" s="37">
        <v>46.85</v>
      </c>
      <c r="H266" s="37">
        <v>1.05</v>
      </c>
      <c r="I266" s="37"/>
      <c r="J266" s="50">
        <f>ROUND(F266*G266*H266,3)</f>
        <v>98.385000000000005</v>
      </c>
      <c r="K266" s="51">
        <f>SUM(J265:J266)</f>
        <v>190.239</v>
      </c>
      <c r="L266" s="39"/>
      <c r="M266" s="39"/>
    </row>
    <row r="267" spans="1:13" ht="22.5">
      <c r="A267" s="35" t="s">
        <v>572</v>
      </c>
      <c r="B267" s="35" t="s">
        <v>451</v>
      </c>
      <c r="C267" s="35" t="s">
        <v>422</v>
      </c>
      <c r="D267" s="36" t="s">
        <v>573</v>
      </c>
      <c r="E267" s="36"/>
      <c r="F267" s="36"/>
      <c r="G267" s="36"/>
      <c r="H267" s="36"/>
      <c r="I267" s="36"/>
      <c r="J267" s="36"/>
      <c r="K267" s="37">
        <v>1</v>
      </c>
      <c r="L267" s="37">
        <f>ROUND(0.48,3)</f>
        <v>0.48</v>
      </c>
      <c r="M267" s="38">
        <f t="shared" ref="M267:M272" si="10">ROUND(K267*L267,2)</f>
        <v>0.48</v>
      </c>
    </row>
    <row r="268" spans="1:13" ht="22.5">
      <c r="A268" s="35" t="s">
        <v>574</v>
      </c>
      <c r="B268" s="35" t="s">
        <v>451</v>
      </c>
      <c r="C268" s="35" t="s">
        <v>56</v>
      </c>
      <c r="D268" s="36" t="s">
        <v>575</v>
      </c>
      <c r="E268" s="36"/>
      <c r="F268" s="36"/>
      <c r="G268" s="36"/>
      <c r="H268" s="36"/>
      <c r="I268" s="36"/>
      <c r="J268" s="36"/>
      <c r="K268" s="37">
        <v>1</v>
      </c>
      <c r="L268" s="37">
        <f>ROUND(11.58,3)</f>
        <v>11.58</v>
      </c>
      <c r="M268" s="38">
        <f t="shared" si="10"/>
        <v>11.58</v>
      </c>
    </row>
    <row r="269" spans="1:13" ht="22.5">
      <c r="A269" s="35" t="s">
        <v>576</v>
      </c>
      <c r="B269" s="35" t="s">
        <v>451</v>
      </c>
      <c r="C269" s="35" t="s">
        <v>56</v>
      </c>
      <c r="D269" s="36" t="s">
        <v>577</v>
      </c>
      <c r="E269" s="36"/>
      <c r="F269" s="36"/>
      <c r="G269" s="36"/>
      <c r="H269" s="36"/>
      <c r="I269" s="36"/>
      <c r="J269" s="36"/>
      <c r="K269" s="37">
        <v>1</v>
      </c>
      <c r="L269" s="37">
        <f>ROUND(13.13,3)</f>
        <v>13.13</v>
      </c>
      <c r="M269" s="38">
        <f t="shared" si="10"/>
        <v>13.13</v>
      </c>
    </row>
    <row r="270" spans="1:13">
      <c r="A270" s="35" t="s">
        <v>515</v>
      </c>
      <c r="B270" s="35" t="s">
        <v>451</v>
      </c>
      <c r="C270" s="35" t="s">
        <v>516</v>
      </c>
      <c r="D270" s="36" t="s">
        <v>517</v>
      </c>
      <c r="E270" s="36"/>
      <c r="F270" s="36"/>
      <c r="G270" s="36"/>
      <c r="H270" s="36"/>
      <c r="I270" s="36"/>
      <c r="J270" s="36"/>
      <c r="K270" s="37">
        <v>6.7000000000000004E-2</v>
      </c>
      <c r="L270" s="37">
        <f>ROUND(11.68,3)</f>
        <v>11.68</v>
      </c>
      <c r="M270" s="38">
        <f t="shared" si="10"/>
        <v>0.78</v>
      </c>
    </row>
    <row r="271" spans="1:13">
      <c r="A271" s="35" t="s">
        <v>454</v>
      </c>
      <c r="B271" s="35" t="s">
        <v>455</v>
      </c>
      <c r="C271" s="35" t="s">
        <v>456</v>
      </c>
      <c r="D271" s="36" t="s">
        <v>457</v>
      </c>
      <c r="E271" s="36"/>
      <c r="F271" s="36"/>
      <c r="G271" s="36"/>
      <c r="H271" s="36"/>
      <c r="I271" s="36"/>
      <c r="J271" s="36"/>
      <c r="K271" s="37">
        <v>0.13200000000000001</v>
      </c>
      <c r="L271" s="37">
        <f>ROUND(20.33,3)</f>
        <v>20.329999999999998</v>
      </c>
      <c r="M271" s="38">
        <f t="shared" si="10"/>
        <v>2.68</v>
      </c>
    </row>
    <row r="272" spans="1:13">
      <c r="A272" s="35" t="s">
        <v>458</v>
      </c>
      <c r="B272" s="35" t="s">
        <v>455</v>
      </c>
      <c r="C272" s="35" t="s">
        <v>456</v>
      </c>
      <c r="D272" s="36" t="s">
        <v>459</v>
      </c>
      <c r="E272" s="36"/>
      <c r="F272" s="36"/>
      <c r="G272" s="36"/>
      <c r="H272" s="36"/>
      <c r="I272" s="36"/>
      <c r="J272" s="36"/>
      <c r="K272" s="37">
        <v>0.13200000000000001</v>
      </c>
      <c r="L272" s="37">
        <f>ROUND(17.32,3)</f>
        <v>17.32</v>
      </c>
      <c r="M272" s="38">
        <f t="shared" si="10"/>
        <v>2.29</v>
      </c>
    </row>
    <row r="273" spans="1:13">
      <c r="A273" s="35" t="s">
        <v>460</v>
      </c>
      <c r="B273" s="35"/>
      <c r="C273" s="35" t="s">
        <v>460</v>
      </c>
      <c r="D273" s="36" t="s">
        <v>461</v>
      </c>
      <c r="E273" s="36"/>
      <c r="F273" s="36"/>
      <c r="G273" s="36"/>
      <c r="H273" s="36"/>
      <c r="I273" s="36"/>
      <c r="J273" s="36"/>
      <c r="K273" s="37">
        <v>2</v>
      </c>
      <c r="L273" s="37">
        <f>ROUND(30.94,3)</f>
        <v>30.94</v>
      </c>
      <c r="M273" s="38">
        <f>ROUND((K273*L273)/100,2)</f>
        <v>0.62</v>
      </c>
    </row>
    <row r="274" spans="1:13">
      <c r="A274" s="52"/>
      <c r="B274" s="52"/>
      <c r="C274" s="52"/>
      <c r="D274" s="53" t="s">
        <v>643</v>
      </c>
      <c r="E274" s="52"/>
      <c r="F274" s="52"/>
      <c r="G274" s="52"/>
      <c r="H274" s="52"/>
      <c r="I274" s="52"/>
      <c r="J274" s="52"/>
      <c r="K274" s="54">
        <v>190.239</v>
      </c>
      <c r="L274" s="55">
        <f>ROUND((M267+M268+M269+M270+M271+M272+M273)*(1+M2/100),2)</f>
        <v>32.51</v>
      </c>
      <c r="M274" s="55">
        <f>ROUND(K274*L274,2)</f>
        <v>6184.67</v>
      </c>
    </row>
    <row r="275" spans="1:13">
      <c r="A275" s="56" t="s">
        <v>644</v>
      </c>
      <c r="B275" s="57" t="s">
        <v>431</v>
      </c>
      <c r="C275" s="57" t="s">
        <v>422</v>
      </c>
      <c r="D275" s="58" t="s">
        <v>579</v>
      </c>
      <c r="E275" s="58"/>
      <c r="F275" s="58"/>
      <c r="G275" s="58"/>
      <c r="H275" s="58"/>
      <c r="I275" s="58"/>
      <c r="J275" s="58"/>
      <c r="K275" s="59">
        <f>SUM(K278:K279)</f>
        <v>4</v>
      </c>
      <c r="L275" s="60">
        <f>L285</f>
        <v>27.24</v>
      </c>
      <c r="M275" s="60">
        <f>ROUND(K275*L275,2)</f>
        <v>108.96</v>
      </c>
    </row>
    <row r="276" spans="1:13" ht="56.25">
      <c r="A276" s="39"/>
      <c r="B276" s="39"/>
      <c r="C276" s="39"/>
      <c r="D276" s="36" t="s">
        <v>580</v>
      </c>
      <c r="E276" s="36"/>
      <c r="F276" s="36"/>
      <c r="G276" s="36"/>
      <c r="H276" s="36"/>
      <c r="I276" s="36"/>
      <c r="J276" s="36"/>
      <c r="K276" s="36"/>
      <c r="L276" s="36"/>
      <c r="M276" s="36"/>
    </row>
    <row r="277" spans="1:13">
      <c r="A277" s="39"/>
      <c r="B277" s="39"/>
      <c r="C277" s="39"/>
      <c r="D277" s="39"/>
      <c r="E277" s="40"/>
      <c r="F277" s="41" t="s">
        <v>434</v>
      </c>
      <c r="G277" s="41" t="s">
        <v>435</v>
      </c>
      <c r="H277" s="41" t="s">
        <v>436</v>
      </c>
      <c r="I277" s="41" t="s">
        <v>437</v>
      </c>
      <c r="J277" s="41" t="s">
        <v>438</v>
      </c>
      <c r="K277" s="41" t="s">
        <v>439</v>
      </c>
      <c r="L277" s="39"/>
      <c r="M277" s="39"/>
    </row>
    <row r="278" spans="1:13" ht="33.75">
      <c r="A278" s="39"/>
      <c r="B278" s="39"/>
      <c r="C278" s="39"/>
      <c r="D278" s="42"/>
      <c r="E278" s="43" t="s">
        <v>825</v>
      </c>
      <c r="F278" s="44">
        <v>2</v>
      </c>
      <c r="G278" s="45"/>
      <c r="H278" s="45"/>
      <c r="I278" s="45"/>
      <c r="J278" s="46">
        <f>ROUND(F278,3)</f>
        <v>2</v>
      </c>
      <c r="K278" s="48"/>
      <c r="L278" s="39"/>
      <c r="M278" s="39"/>
    </row>
    <row r="279" spans="1:13" ht="33.75">
      <c r="A279" s="39"/>
      <c r="B279" s="39"/>
      <c r="C279" s="39"/>
      <c r="D279" s="42"/>
      <c r="E279" s="35" t="s">
        <v>826</v>
      </c>
      <c r="F279" s="49">
        <v>2</v>
      </c>
      <c r="G279" s="37"/>
      <c r="H279" s="37"/>
      <c r="I279" s="37"/>
      <c r="J279" s="50">
        <f>ROUND(F279,3)</f>
        <v>2</v>
      </c>
      <c r="K279" s="51">
        <f>SUM(J278:J279)</f>
        <v>4</v>
      </c>
      <c r="L279" s="39"/>
      <c r="M279" s="39"/>
    </row>
    <row r="280" spans="1:13">
      <c r="A280" s="35" t="s">
        <v>583</v>
      </c>
      <c r="B280" s="35" t="s">
        <v>451</v>
      </c>
      <c r="C280" s="35" t="s">
        <v>422</v>
      </c>
      <c r="D280" s="36" t="s">
        <v>579</v>
      </c>
      <c r="E280" s="36"/>
      <c r="F280" s="36"/>
      <c r="G280" s="36"/>
      <c r="H280" s="36"/>
      <c r="I280" s="36"/>
      <c r="J280" s="36"/>
      <c r="K280" s="37">
        <v>1</v>
      </c>
      <c r="L280" s="37">
        <f>ROUND(21.57,3)</f>
        <v>21.57</v>
      </c>
      <c r="M280" s="38">
        <f>ROUND(K280*L280,2)</f>
        <v>21.57</v>
      </c>
    </row>
    <row r="281" spans="1:13" ht="22.5">
      <c r="A281" s="35" t="s">
        <v>452</v>
      </c>
      <c r="B281" s="35" t="s">
        <v>451</v>
      </c>
      <c r="C281" s="35" t="s">
        <v>422</v>
      </c>
      <c r="D281" s="36" t="s">
        <v>453</v>
      </c>
      <c r="E281" s="36"/>
      <c r="F281" s="36"/>
      <c r="G281" s="36"/>
      <c r="H281" s="36"/>
      <c r="I281" s="36"/>
      <c r="J281" s="36"/>
      <c r="K281" s="37">
        <v>0.1</v>
      </c>
      <c r="L281" s="37">
        <f>ROUND(2.1,3)</f>
        <v>2.1</v>
      </c>
      <c r="M281" s="38">
        <f>ROUND(K281*L281,2)</f>
        <v>0.21</v>
      </c>
    </row>
    <row r="282" spans="1:13">
      <c r="A282" s="35" t="s">
        <v>454</v>
      </c>
      <c r="B282" s="35" t="s">
        <v>455</v>
      </c>
      <c r="C282" s="35" t="s">
        <v>456</v>
      </c>
      <c r="D282" s="36" t="s">
        <v>457</v>
      </c>
      <c r="E282" s="36"/>
      <c r="F282" s="36"/>
      <c r="G282" s="36"/>
      <c r="H282" s="36"/>
      <c r="I282" s="36"/>
      <c r="J282" s="36"/>
      <c r="K282" s="37">
        <v>0.11</v>
      </c>
      <c r="L282" s="37">
        <f>ROUND(20.33,3)</f>
        <v>20.329999999999998</v>
      </c>
      <c r="M282" s="38">
        <f>ROUND(K282*L282,2)</f>
        <v>2.2400000000000002</v>
      </c>
    </row>
    <row r="283" spans="1:13">
      <c r="A283" s="35" t="s">
        <v>458</v>
      </c>
      <c r="B283" s="35" t="s">
        <v>455</v>
      </c>
      <c r="C283" s="35" t="s">
        <v>456</v>
      </c>
      <c r="D283" s="36" t="s">
        <v>459</v>
      </c>
      <c r="E283" s="36"/>
      <c r="F283" s="36"/>
      <c r="G283" s="36"/>
      <c r="H283" s="36"/>
      <c r="I283" s="36"/>
      <c r="J283" s="36"/>
      <c r="K283" s="37">
        <v>0.11</v>
      </c>
      <c r="L283" s="37">
        <f>ROUND(17.32,3)</f>
        <v>17.32</v>
      </c>
      <c r="M283" s="38">
        <f>ROUND(K283*L283,2)</f>
        <v>1.91</v>
      </c>
    </row>
    <row r="284" spans="1:13">
      <c r="A284" s="35" t="s">
        <v>460</v>
      </c>
      <c r="B284" s="35"/>
      <c r="C284" s="35" t="s">
        <v>460</v>
      </c>
      <c r="D284" s="36" t="s">
        <v>461</v>
      </c>
      <c r="E284" s="36"/>
      <c r="F284" s="36"/>
      <c r="G284" s="36"/>
      <c r="H284" s="36"/>
      <c r="I284" s="36"/>
      <c r="J284" s="36"/>
      <c r="K284" s="37">
        <v>2</v>
      </c>
      <c r="L284" s="37">
        <f>ROUND(25.93,3)</f>
        <v>25.93</v>
      </c>
      <c r="M284" s="38">
        <f>ROUND((K284*L284)/100,2)</f>
        <v>0.52</v>
      </c>
    </row>
    <row r="285" spans="1:13">
      <c r="A285" s="52"/>
      <c r="B285" s="52"/>
      <c r="C285" s="52"/>
      <c r="D285" s="53" t="s">
        <v>644</v>
      </c>
      <c r="E285" s="52"/>
      <c r="F285" s="52"/>
      <c r="G285" s="52"/>
      <c r="H285" s="52"/>
      <c r="I285" s="52"/>
      <c r="J285" s="52"/>
      <c r="K285" s="54">
        <v>4</v>
      </c>
      <c r="L285" s="55">
        <f>ROUND((M280+M281+M282+M283+M284)*(1+M2/100),2)</f>
        <v>27.24</v>
      </c>
      <c r="M285" s="55">
        <f>ROUND(K285*L285,2)</f>
        <v>108.96</v>
      </c>
    </row>
    <row r="286" spans="1:13">
      <c r="A286" s="56" t="s">
        <v>584</v>
      </c>
      <c r="B286" s="57" t="s">
        <v>431</v>
      </c>
      <c r="C286" s="57" t="s">
        <v>3</v>
      </c>
      <c r="D286" s="58" t="s">
        <v>585</v>
      </c>
      <c r="E286" s="58"/>
      <c r="F286" s="58"/>
      <c r="G286" s="58"/>
      <c r="H286" s="58"/>
      <c r="I286" s="58"/>
      <c r="J286" s="58"/>
      <c r="K286" s="59">
        <f>SUM(K289:K289)</f>
        <v>2</v>
      </c>
      <c r="L286" s="60">
        <f>ROUND(385*(1+M2/100),2)</f>
        <v>396.55</v>
      </c>
      <c r="M286" s="60">
        <f>ROUND(K286*L286,2)</f>
        <v>793.1</v>
      </c>
    </row>
    <row r="287" spans="1:13">
      <c r="A287" s="39"/>
      <c r="B287" s="39"/>
      <c r="C287" s="39"/>
      <c r="D287" s="36" t="s">
        <v>586</v>
      </c>
      <c r="E287" s="36"/>
      <c r="F287" s="36"/>
      <c r="G287" s="36"/>
      <c r="H287" s="36"/>
      <c r="I287" s="36"/>
      <c r="J287" s="36"/>
      <c r="K287" s="36"/>
      <c r="L287" s="36"/>
      <c r="M287" s="36"/>
    </row>
    <row r="288" spans="1:13">
      <c r="A288" s="39"/>
      <c r="B288" s="39"/>
      <c r="C288" s="39"/>
      <c r="D288" s="39"/>
      <c r="E288" s="40"/>
      <c r="F288" s="41" t="s">
        <v>434</v>
      </c>
      <c r="G288" s="41" t="s">
        <v>435</v>
      </c>
      <c r="H288" s="41" t="s">
        <v>436</v>
      </c>
      <c r="I288" s="41" t="s">
        <v>437</v>
      </c>
      <c r="J288" s="41" t="s">
        <v>438</v>
      </c>
      <c r="K288" s="41" t="s">
        <v>439</v>
      </c>
      <c r="L288" s="39"/>
      <c r="M288" s="39"/>
    </row>
    <row r="289" spans="1:13" ht="22.5">
      <c r="A289" s="39"/>
      <c r="B289" s="39"/>
      <c r="C289" s="39"/>
      <c r="D289" s="42"/>
      <c r="E289" s="43" t="s">
        <v>827</v>
      </c>
      <c r="F289" s="44">
        <v>2</v>
      </c>
      <c r="G289" s="45"/>
      <c r="H289" s="45"/>
      <c r="I289" s="45"/>
      <c r="J289" s="46">
        <f>ROUND(F289,3)</f>
        <v>2</v>
      </c>
      <c r="K289" s="47">
        <f>SUM(J289:J289)</f>
        <v>2</v>
      </c>
      <c r="L289" s="39"/>
      <c r="M289" s="39"/>
    </row>
    <row r="290" spans="1:13" ht="22.5">
      <c r="A290" s="34" t="s">
        <v>588</v>
      </c>
      <c r="B290" s="35" t="s">
        <v>431</v>
      </c>
      <c r="C290" s="35" t="s">
        <v>3</v>
      </c>
      <c r="D290" s="36" t="s">
        <v>589</v>
      </c>
      <c r="E290" s="36"/>
      <c r="F290" s="36"/>
      <c r="G290" s="36"/>
      <c r="H290" s="36"/>
      <c r="I290" s="36"/>
      <c r="J290" s="36"/>
      <c r="K290" s="37">
        <f>SUM(K293:K294)</f>
        <v>2</v>
      </c>
      <c r="L290" s="38">
        <f>L300</f>
        <v>1229.6199999999999</v>
      </c>
      <c r="M290" s="38">
        <f>ROUND(K290*L290,2)</f>
        <v>2459.2399999999998</v>
      </c>
    </row>
    <row r="291" spans="1:13">
      <c r="A291" s="39"/>
      <c r="B291" s="39"/>
      <c r="C291" s="39"/>
      <c r="D291" s="36" t="s">
        <v>590</v>
      </c>
      <c r="E291" s="36"/>
      <c r="F291" s="36"/>
      <c r="G291" s="36"/>
      <c r="H291" s="36"/>
      <c r="I291" s="36"/>
      <c r="J291" s="36"/>
      <c r="K291" s="36"/>
      <c r="L291" s="36"/>
      <c r="M291" s="36"/>
    </row>
    <row r="292" spans="1:13">
      <c r="A292" s="39"/>
      <c r="B292" s="39"/>
      <c r="C292" s="39"/>
      <c r="D292" s="39"/>
      <c r="E292" s="40"/>
      <c r="F292" s="41" t="s">
        <v>434</v>
      </c>
      <c r="G292" s="41" t="s">
        <v>435</v>
      </c>
      <c r="H292" s="41" t="s">
        <v>436</v>
      </c>
      <c r="I292" s="41" t="s">
        <v>437</v>
      </c>
      <c r="J292" s="41" t="s">
        <v>438</v>
      </c>
      <c r="K292" s="41" t="s">
        <v>439</v>
      </c>
      <c r="L292" s="39"/>
      <c r="M292" s="39"/>
    </row>
    <row r="293" spans="1:13">
      <c r="A293" s="39"/>
      <c r="B293" s="39"/>
      <c r="C293" s="39"/>
      <c r="D293" s="42"/>
      <c r="E293" s="43" t="s">
        <v>834</v>
      </c>
      <c r="F293" s="44">
        <v>1</v>
      </c>
      <c r="G293" s="45"/>
      <c r="H293" s="45"/>
      <c r="I293" s="45"/>
      <c r="J293" s="46">
        <f>ROUND(F293,3)</f>
        <v>1</v>
      </c>
      <c r="K293" s="48"/>
      <c r="L293" s="39"/>
      <c r="M293" s="39"/>
    </row>
    <row r="294" spans="1:13">
      <c r="A294" s="39"/>
      <c r="B294" s="39"/>
      <c r="C294" s="39"/>
      <c r="D294" s="42"/>
      <c r="E294" s="35" t="s">
        <v>835</v>
      </c>
      <c r="F294" s="49">
        <v>1</v>
      </c>
      <c r="G294" s="37"/>
      <c r="H294" s="37"/>
      <c r="I294" s="37"/>
      <c r="J294" s="50">
        <f>ROUND(F294,3)</f>
        <v>1</v>
      </c>
      <c r="K294" s="51">
        <f>SUM(J293:J294)</f>
        <v>2</v>
      </c>
      <c r="L294" s="39"/>
      <c r="M294" s="39"/>
    </row>
    <row r="295" spans="1:13">
      <c r="A295" s="35" t="s">
        <v>529</v>
      </c>
      <c r="B295" s="35" t="s">
        <v>455</v>
      </c>
      <c r="C295" s="35" t="s">
        <v>456</v>
      </c>
      <c r="D295" s="36" t="s">
        <v>530</v>
      </c>
      <c r="E295" s="36"/>
      <c r="F295" s="36"/>
      <c r="G295" s="36"/>
      <c r="H295" s="36"/>
      <c r="I295" s="36"/>
      <c r="J295" s="36"/>
      <c r="K295" s="37">
        <v>3</v>
      </c>
      <c r="L295" s="37">
        <f>ROUND(17.32,3)</f>
        <v>17.32</v>
      </c>
      <c r="M295" s="38">
        <f t="shared" ref="M295:M301" si="11">ROUND(K295*L295,2)</f>
        <v>51.96</v>
      </c>
    </row>
    <row r="296" spans="1:13">
      <c r="A296" s="35" t="s">
        <v>527</v>
      </c>
      <c r="B296" s="35" t="s">
        <v>455</v>
      </c>
      <c r="C296" s="35" t="s">
        <v>456</v>
      </c>
      <c r="D296" s="36" t="s">
        <v>528</v>
      </c>
      <c r="E296" s="36"/>
      <c r="F296" s="36"/>
      <c r="G296" s="36"/>
      <c r="H296" s="36"/>
      <c r="I296" s="36"/>
      <c r="J296" s="36"/>
      <c r="K296" s="37">
        <v>3</v>
      </c>
      <c r="L296" s="37">
        <f>ROUND(20.33,3)</f>
        <v>20.329999999999998</v>
      </c>
      <c r="M296" s="38">
        <f t="shared" si="11"/>
        <v>60.99</v>
      </c>
    </row>
    <row r="297" spans="1:13" ht="22.5">
      <c r="A297" s="35" t="s">
        <v>531</v>
      </c>
      <c r="B297" s="35" t="s">
        <v>451</v>
      </c>
      <c r="C297" s="35" t="s">
        <v>56</v>
      </c>
      <c r="D297" s="36" t="s">
        <v>532</v>
      </c>
      <c r="E297" s="36"/>
      <c r="F297" s="36"/>
      <c r="G297" s="36"/>
      <c r="H297" s="36"/>
      <c r="I297" s="36"/>
      <c r="J297" s="36"/>
      <c r="K297" s="37">
        <v>3</v>
      </c>
      <c r="L297" s="37">
        <f>ROUND(0.4,3)</f>
        <v>0.4</v>
      </c>
      <c r="M297" s="38">
        <f t="shared" si="11"/>
        <v>1.2</v>
      </c>
    </row>
    <row r="298" spans="1:13">
      <c r="A298" s="35" t="s">
        <v>593</v>
      </c>
      <c r="B298" s="35" t="s">
        <v>451</v>
      </c>
      <c r="C298" s="35" t="s">
        <v>422</v>
      </c>
      <c r="D298" s="36" t="s">
        <v>594</v>
      </c>
      <c r="E298" s="36"/>
      <c r="F298" s="36"/>
      <c r="G298" s="36"/>
      <c r="H298" s="36"/>
      <c r="I298" s="36"/>
      <c r="J298" s="36"/>
      <c r="K298" s="37">
        <v>1</v>
      </c>
      <c r="L298" s="37">
        <f>ROUND(1039,3)</f>
        <v>1039</v>
      </c>
      <c r="M298" s="38">
        <f t="shared" si="11"/>
        <v>1039</v>
      </c>
    </row>
    <row r="299" spans="1:13">
      <c r="A299" s="35" t="s">
        <v>493</v>
      </c>
      <c r="B299" s="35" t="s">
        <v>455</v>
      </c>
      <c r="C299" s="35" t="s">
        <v>456</v>
      </c>
      <c r="D299" s="36" t="s">
        <v>494</v>
      </c>
      <c r="E299" s="36"/>
      <c r="F299" s="36"/>
      <c r="G299" s="36"/>
      <c r="H299" s="36"/>
      <c r="I299" s="36"/>
      <c r="J299" s="36"/>
      <c r="K299" s="37">
        <v>2</v>
      </c>
      <c r="L299" s="37">
        <f>ROUND(20.33,3)</f>
        <v>20.329999999999998</v>
      </c>
      <c r="M299" s="38">
        <f t="shared" si="11"/>
        <v>40.659999999999997</v>
      </c>
    </row>
    <row r="300" spans="1:13">
      <c r="A300" s="52"/>
      <c r="B300" s="52"/>
      <c r="C300" s="52"/>
      <c r="D300" s="53" t="s">
        <v>588</v>
      </c>
      <c r="E300" s="52"/>
      <c r="F300" s="52"/>
      <c r="G300" s="52"/>
      <c r="H300" s="52"/>
      <c r="I300" s="52"/>
      <c r="J300" s="52"/>
      <c r="K300" s="54">
        <v>2</v>
      </c>
      <c r="L300" s="55">
        <f>ROUND((M295+M296+M297+M298+M299)*(1+M2/100),2)</f>
        <v>1229.6199999999999</v>
      </c>
      <c r="M300" s="55">
        <f t="shared" si="11"/>
        <v>2459.2399999999998</v>
      </c>
    </row>
    <row r="301" spans="1:13">
      <c r="A301" s="56" t="s">
        <v>647</v>
      </c>
      <c r="B301" s="57" t="s">
        <v>431</v>
      </c>
      <c r="C301" s="57" t="s">
        <v>534</v>
      </c>
      <c r="D301" s="58" t="s">
        <v>535</v>
      </c>
      <c r="E301" s="58"/>
      <c r="F301" s="58"/>
      <c r="G301" s="58"/>
      <c r="H301" s="58"/>
      <c r="I301" s="58"/>
      <c r="J301" s="58"/>
      <c r="K301" s="59">
        <f>SUM(K304:K304)</f>
        <v>285</v>
      </c>
      <c r="L301" s="60">
        <f>L312</f>
        <v>6.65</v>
      </c>
      <c r="M301" s="60">
        <f t="shared" si="11"/>
        <v>1895.25</v>
      </c>
    </row>
    <row r="302" spans="1:13" ht="101.25">
      <c r="A302" s="39"/>
      <c r="B302" s="39"/>
      <c r="C302" s="39"/>
      <c r="D302" s="36" t="s">
        <v>536</v>
      </c>
      <c r="E302" s="36"/>
      <c r="F302" s="36"/>
      <c r="G302" s="36"/>
      <c r="H302" s="36"/>
      <c r="I302" s="36"/>
      <c r="J302" s="36"/>
      <c r="K302" s="36"/>
      <c r="L302" s="36"/>
      <c r="M302" s="36"/>
    </row>
    <row r="303" spans="1:13">
      <c r="A303" s="39"/>
      <c r="B303" s="39"/>
      <c r="C303" s="39"/>
      <c r="D303" s="39"/>
      <c r="E303" s="40"/>
      <c r="F303" s="41" t="s">
        <v>434</v>
      </c>
      <c r="G303" s="41" t="s">
        <v>435</v>
      </c>
      <c r="H303" s="41" t="s">
        <v>436</v>
      </c>
      <c r="I303" s="41" t="s">
        <v>437</v>
      </c>
      <c r="J303" s="41" t="s">
        <v>438</v>
      </c>
      <c r="K303" s="41" t="s">
        <v>439</v>
      </c>
      <c r="L303" s="39"/>
      <c r="M303" s="39"/>
    </row>
    <row r="304" spans="1:13">
      <c r="A304" s="39"/>
      <c r="B304" s="39"/>
      <c r="C304" s="39"/>
      <c r="D304" s="42"/>
      <c r="E304" s="43"/>
      <c r="F304" s="44">
        <v>285</v>
      </c>
      <c r="G304" s="45"/>
      <c r="H304" s="45"/>
      <c r="I304" s="45"/>
      <c r="J304" s="46">
        <f>ROUND(F304,3)</f>
        <v>285</v>
      </c>
      <c r="K304" s="47">
        <f>SUM(J304:J304)</f>
        <v>285</v>
      </c>
      <c r="L304" s="39"/>
      <c r="M304" s="39"/>
    </row>
    <row r="305" spans="1:13">
      <c r="A305" s="35" t="s">
        <v>537</v>
      </c>
      <c r="B305" s="35" t="s">
        <v>451</v>
      </c>
      <c r="C305" s="35" t="s">
        <v>538</v>
      </c>
      <c r="D305" s="36" t="s">
        <v>539</v>
      </c>
      <c r="E305" s="36"/>
      <c r="F305" s="36"/>
      <c r="G305" s="36"/>
      <c r="H305" s="36"/>
      <c r="I305" s="36"/>
      <c r="J305" s="36"/>
      <c r="K305" s="37">
        <v>1.4999999999999999E-2</v>
      </c>
      <c r="L305" s="37">
        <f>ROUND(78.89,3)</f>
        <v>78.89</v>
      </c>
      <c r="M305" s="38">
        <f t="shared" ref="M305:M310" si="12">ROUND(K305*L305,2)</f>
        <v>1.18</v>
      </c>
    </row>
    <row r="306" spans="1:13">
      <c r="A306" s="35" t="s">
        <v>540</v>
      </c>
      <c r="B306" s="35" t="s">
        <v>451</v>
      </c>
      <c r="C306" s="35" t="s">
        <v>538</v>
      </c>
      <c r="D306" s="36" t="s">
        <v>541</v>
      </c>
      <c r="E306" s="36"/>
      <c r="F306" s="36"/>
      <c r="G306" s="36"/>
      <c r="H306" s="36"/>
      <c r="I306" s="36"/>
      <c r="J306" s="36"/>
      <c r="K306" s="37">
        <v>6.0000000000000001E-3</v>
      </c>
      <c r="L306" s="37">
        <f>ROUND(1.5,3)</f>
        <v>1.5</v>
      </c>
      <c r="M306" s="38">
        <f t="shared" si="12"/>
        <v>0.01</v>
      </c>
    </row>
    <row r="307" spans="1:13" ht="22.5">
      <c r="A307" s="35" t="s">
        <v>542</v>
      </c>
      <c r="B307" s="35" t="s">
        <v>451</v>
      </c>
      <c r="C307" s="35" t="s">
        <v>543</v>
      </c>
      <c r="D307" s="36" t="s">
        <v>544</v>
      </c>
      <c r="E307" s="36"/>
      <c r="F307" s="36"/>
      <c r="G307" s="36"/>
      <c r="H307" s="36"/>
      <c r="I307" s="36"/>
      <c r="J307" s="36"/>
      <c r="K307" s="37">
        <v>1.9E-2</v>
      </c>
      <c r="L307" s="37">
        <f>ROUND(36.25,3)</f>
        <v>36.25</v>
      </c>
      <c r="M307" s="38">
        <f t="shared" si="12"/>
        <v>0.69</v>
      </c>
    </row>
    <row r="308" spans="1:13">
      <c r="A308" s="35" t="s">
        <v>545</v>
      </c>
      <c r="B308" s="35" t="s">
        <v>525</v>
      </c>
      <c r="C308" s="35" t="s">
        <v>456</v>
      </c>
      <c r="D308" s="36" t="s">
        <v>546</v>
      </c>
      <c r="E308" s="36"/>
      <c r="F308" s="36"/>
      <c r="G308" s="36"/>
      <c r="H308" s="36"/>
      <c r="I308" s="36"/>
      <c r="J308" s="36"/>
      <c r="K308" s="37">
        <v>5.0000000000000001E-3</v>
      </c>
      <c r="L308" s="37">
        <f>ROUND(25,3)</f>
        <v>25</v>
      </c>
      <c r="M308" s="38">
        <f t="shared" si="12"/>
        <v>0.13</v>
      </c>
    </row>
    <row r="309" spans="1:13">
      <c r="A309" s="35" t="s">
        <v>547</v>
      </c>
      <c r="B309" s="35" t="s">
        <v>455</v>
      </c>
      <c r="C309" s="35" t="s">
        <v>456</v>
      </c>
      <c r="D309" s="36" t="s">
        <v>548</v>
      </c>
      <c r="E309" s="36"/>
      <c r="F309" s="36"/>
      <c r="G309" s="36"/>
      <c r="H309" s="36"/>
      <c r="I309" s="36"/>
      <c r="J309" s="36"/>
      <c r="K309" s="37">
        <v>7.0000000000000007E-2</v>
      </c>
      <c r="L309" s="37">
        <f>ROUND(20.09,3)</f>
        <v>20.09</v>
      </c>
      <c r="M309" s="38">
        <f t="shared" si="12"/>
        <v>1.41</v>
      </c>
    </row>
    <row r="310" spans="1:13">
      <c r="A310" s="35" t="s">
        <v>549</v>
      </c>
      <c r="B310" s="35" t="s">
        <v>455</v>
      </c>
      <c r="C310" s="35" t="s">
        <v>456</v>
      </c>
      <c r="D310" s="36" t="s">
        <v>550</v>
      </c>
      <c r="E310" s="36"/>
      <c r="F310" s="36"/>
      <c r="G310" s="36"/>
      <c r="H310" s="36"/>
      <c r="I310" s="36"/>
      <c r="J310" s="36"/>
      <c r="K310" s="37">
        <v>0.17599999999999999</v>
      </c>
      <c r="L310" s="37">
        <f>ROUND(15.88,3)</f>
        <v>15.88</v>
      </c>
      <c r="M310" s="38">
        <f t="shared" si="12"/>
        <v>2.79</v>
      </c>
    </row>
    <row r="311" spans="1:13">
      <c r="A311" s="35" t="s">
        <v>460</v>
      </c>
      <c r="B311" s="35"/>
      <c r="C311" s="35" t="s">
        <v>460</v>
      </c>
      <c r="D311" s="36" t="s">
        <v>461</v>
      </c>
      <c r="E311" s="36"/>
      <c r="F311" s="36"/>
      <c r="G311" s="36"/>
      <c r="H311" s="36"/>
      <c r="I311" s="36"/>
      <c r="J311" s="36"/>
      <c r="K311" s="37">
        <v>4</v>
      </c>
      <c r="L311" s="37">
        <f>ROUND(6.21,3)</f>
        <v>6.21</v>
      </c>
      <c r="M311" s="38">
        <f>ROUND((K311*L311)/100,2)</f>
        <v>0.25</v>
      </c>
    </row>
    <row r="312" spans="1:13">
      <c r="A312" s="52"/>
      <c r="B312" s="52"/>
      <c r="C312" s="52"/>
      <c r="D312" s="53" t="s">
        <v>647</v>
      </c>
      <c r="E312" s="52"/>
      <c r="F312" s="52"/>
      <c r="G312" s="52"/>
      <c r="H312" s="52"/>
      <c r="I312" s="52"/>
      <c r="J312" s="52"/>
      <c r="K312" s="54">
        <v>285</v>
      </c>
      <c r="L312" s="55">
        <f>ROUND((M305+M306+M307+M308+M309+M310+M311)*(1+M2/100),2)</f>
        <v>6.65</v>
      </c>
      <c r="M312" s="55">
        <f>ROUND(K312*L312,2)</f>
        <v>1895.25</v>
      </c>
    </row>
    <row r="313" spans="1:13">
      <c r="A313" s="56" t="s">
        <v>596</v>
      </c>
      <c r="B313" s="57" t="s">
        <v>431</v>
      </c>
      <c r="C313" s="57" t="s">
        <v>3</v>
      </c>
      <c r="D313" s="58" t="s">
        <v>597</v>
      </c>
      <c r="E313" s="58"/>
      <c r="F313" s="58"/>
      <c r="G313" s="58"/>
      <c r="H313" s="58"/>
      <c r="I313" s="58"/>
      <c r="J313" s="58"/>
      <c r="K313" s="59">
        <f>SUM(K316:K316)</f>
        <v>1</v>
      </c>
      <c r="L313" s="60">
        <f>ROUND(560*(1+M2/100),2)</f>
        <v>576.79999999999995</v>
      </c>
      <c r="M313" s="60">
        <f>ROUND(K313*L313,2)</f>
        <v>576.79999999999995</v>
      </c>
    </row>
    <row r="314" spans="1:13">
      <c r="A314" s="39"/>
      <c r="B314" s="39"/>
      <c r="C314" s="39"/>
      <c r="D314" s="36" t="s">
        <v>597</v>
      </c>
      <c r="E314" s="36"/>
      <c r="F314" s="36"/>
      <c r="G314" s="36"/>
      <c r="H314" s="36"/>
      <c r="I314" s="36"/>
      <c r="J314" s="36"/>
      <c r="K314" s="36"/>
      <c r="L314" s="36"/>
      <c r="M314" s="36"/>
    </row>
    <row r="315" spans="1:13">
      <c r="A315" s="39"/>
      <c r="B315" s="39"/>
      <c r="C315" s="39"/>
      <c r="D315" s="39"/>
      <c r="E315" s="40"/>
      <c r="F315" s="41" t="s">
        <v>434</v>
      </c>
      <c r="G315" s="41" t="s">
        <v>435</v>
      </c>
      <c r="H315" s="41" t="s">
        <v>436</v>
      </c>
      <c r="I315" s="41" t="s">
        <v>437</v>
      </c>
      <c r="J315" s="41" t="s">
        <v>438</v>
      </c>
      <c r="K315" s="41" t="s">
        <v>439</v>
      </c>
      <c r="L315" s="39"/>
      <c r="M315" s="39"/>
    </row>
    <row r="316" spans="1:13">
      <c r="A316" s="39"/>
      <c r="B316" s="39"/>
      <c r="C316" s="39"/>
      <c r="D316" s="42"/>
      <c r="E316" s="43"/>
      <c r="F316" s="44">
        <v>1</v>
      </c>
      <c r="G316" s="45"/>
      <c r="H316" s="45"/>
      <c r="I316" s="45"/>
      <c r="J316" s="46">
        <f>ROUND(F316,3)</f>
        <v>1</v>
      </c>
      <c r="K316" s="47">
        <f>SUM(J316:J316)</f>
        <v>1</v>
      </c>
      <c r="L316" s="39"/>
      <c r="M316" s="39"/>
    </row>
    <row r="317" spans="1:13" ht="22.5">
      <c r="A317" s="34" t="s">
        <v>598</v>
      </c>
      <c r="B317" s="35" t="s">
        <v>431</v>
      </c>
      <c r="C317" s="35" t="s">
        <v>56</v>
      </c>
      <c r="D317" s="36" t="s">
        <v>599</v>
      </c>
      <c r="E317" s="36"/>
      <c r="F317" s="36"/>
      <c r="G317" s="36"/>
      <c r="H317" s="36"/>
      <c r="I317" s="36"/>
      <c r="J317" s="36"/>
      <c r="K317" s="37">
        <f>SUM(K320:K320)</f>
        <v>190.239</v>
      </c>
      <c r="L317" s="38">
        <f>L326</f>
        <v>42.23</v>
      </c>
      <c r="M317" s="38">
        <f>ROUND(K317*L317,2)</f>
        <v>8033.79</v>
      </c>
    </row>
    <row r="318" spans="1:13" ht="67.5">
      <c r="A318" s="39"/>
      <c r="B318" s="39"/>
      <c r="C318" s="39"/>
      <c r="D318" s="36" t="s">
        <v>600</v>
      </c>
      <c r="E318" s="36"/>
      <c r="F318" s="36"/>
      <c r="G318" s="36"/>
      <c r="H318" s="36"/>
      <c r="I318" s="36"/>
      <c r="J318" s="36"/>
      <c r="K318" s="36"/>
      <c r="L318" s="36"/>
      <c r="M318" s="36"/>
    </row>
    <row r="319" spans="1:13">
      <c r="A319" s="39"/>
      <c r="B319" s="39"/>
      <c r="C319" s="39"/>
      <c r="D319" s="39"/>
      <c r="E319" s="40"/>
      <c r="F319" s="41" t="s">
        <v>434</v>
      </c>
      <c r="G319" s="41" t="s">
        <v>435</v>
      </c>
      <c r="H319" s="41" t="s">
        <v>436</v>
      </c>
      <c r="I319" s="41" t="s">
        <v>437</v>
      </c>
      <c r="J319" s="41" t="s">
        <v>438</v>
      </c>
      <c r="K319" s="41" t="s">
        <v>439</v>
      </c>
      <c r="L319" s="39"/>
      <c r="M319" s="39"/>
    </row>
    <row r="320" spans="1:13">
      <c r="A320" s="39"/>
      <c r="B320" s="39"/>
      <c r="C320" s="39"/>
      <c r="D320" s="42"/>
      <c r="E320" s="43"/>
      <c r="F320" s="44">
        <v>190.239</v>
      </c>
      <c r="G320" s="45"/>
      <c r="H320" s="45"/>
      <c r="I320" s="45"/>
      <c r="J320" s="46">
        <f>ROUND(F320,3)</f>
        <v>190.239</v>
      </c>
      <c r="K320" s="47">
        <f>SUM(J320:J320)</f>
        <v>190.239</v>
      </c>
      <c r="L320" s="39"/>
      <c r="M320" s="39"/>
    </row>
    <row r="321" spans="1:13">
      <c r="A321" s="35" t="s">
        <v>601</v>
      </c>
      <c r="B321" s="35" t="s">
        <v>451</v>
      </c>
      <c r="C321" s="35" t="s">
        <v>56</v>
      </c>
      <c r="D321" s="36" t="s">
        <v>602</v>
      </c>
      <c r="E321" s="36"/>
      <c r="F321" s="36"/>
      <c r="G321" s="36"/>
      <c r="H321" s="36"/>
      <c r="I321" s="36"/>
      <c r="J321" s="36"/>
      <c r="K321" s="37">
        <v>1.05</v>
      </c>
      <c r="L321" s="37">
        <f>ROUND(33.08,3)</f>
        <v>33.08</v>
      </c>
      <c r="M321" s="38">
        <f>ROUND(K321*L321,2)</f>
        <v>34.729999999999997</v>
      </c>
    </row>
    <row r="322" spans="1:13">
      <c r="A322" s="35" t="s">
        <v>515</v>
      </c>
      <c r="B322" s="35" t="s">
        <v>451</v>
      </c>
      <c r="C322" s="35" t="s">
        <v>516</v>
      </c>
      <c r="D322" s="36" t="s">
        <v>517</v>
      </c>
      <c r="E322" s="36"/>
      <c r="F322" s="36"/>
      <c r="G322" s="36"/>
      <c r="H322" s="36"/>
      <c r="I322" s="36"/>
      <c r="J322" s="36"/>
      <c r="K322" s="37">
        <v>0.05</v>
      </c>
      <c r="L322" s="37">
        <f>ROUND(11.68,3)</f>
        <v>11.68</v>
      </c>
      <c r="M322" s="38">
        <f>ROUND(K322*L322,2)</f>
        <v>0.57999999999999996</v>
      </c>
    </row>
    <row r="323" spans="1:13">
      <c r="A323" s="35" t="s">
        <v>603</v>
      </c>
      <c r="B323" s="35" t="s">
        <v>455</v>
      </c>
      <c r="C323" s="35" t="s">
        <v>456</v>
      </c>
      <c r="D323" s="36" t="s">
        <v>604</v>
      </c>
      <c r="E323" s="36"/>
      <c r="F323" s="36"/>
      <c r="G323" s="36"/>
      <c r="H323" s="36"/>
      <c r="I323" s="36"/>
      <c r="J323" s="36"/>
      <c r="K323" s="37">
        <v>0.13</v>
      </c>
      <c r="L323" s="37">
        <f>ROUND(20.33,3)</f>
        <v>20.329999999999998</v>
      </c>
      <c r="M323" s="38">
        <f>ROUND(K323*L323,2)</f>
        <v>2.64</v>
      </c>
    </row>
    <row r="324" spans="1:13">
      <c r="A324" s="35" t="s">
        <v>605</v>
      </c>
      <c r="B324" s="35" t="s">
        <v>455</v>
      </c>
      <c r="C324" s="35" t="s">
        <v>456</v>
      </c>
      <c r="D324" s="36" t="s">
        <v>606</v>
      </c>
      <c r="E324" s="36"/>
      <c r="F324" s="36"/>
      <c r="G324" s="36"/>
      <c r="H324" s="36"/>
      <c r="I324" s="36"/>
      <c r="J324" s="36"/>
      <c r="K324" s="37">
        <v>0.13</v>
      </c>
      <c r="L324" s="37">
        <f>ROUND(17.34,3)</f>
        <v>17.34</v>
      </c>
      <c r="M324" s="38">
        <f>ROUND(K324*L324,2)</f>
        <v>2.25</v>
      </c>
    </row>
    <row r="325" spans="1:13">
      <c r="A325" s="35" t="s">
        <v>460</v>
      </c>
      <c r="B325" s="35"/>
      <c r="C325" s="35" t="s">
        <v>460</v>
      </c>
      <c r="D325" s="36" t="s">
        <v>461</v>
      </c>
      <c r="E325" s="36"/>
      <c r="F325" s="36"/>
      <c r="G325" s="36"/>
      <c r="H325" s="36"/>
      <c r="I325" s="36"/>
      <c r="J325" s="36"/>
      <c r="K325" s="37">
        <v>2</v>
      </c>
      <c r="L325" s="37">
        <f>ROUND(40.2,3)</f>
        <v>40.200000000000003</v>
      </c>
      <c r="M325" s="38">
        <f>ROUND((K325*L325)/100,2)</f>
        <v>0.8</v>
      </c>
    </row>
    <row r="326" spans="1:13">
      <c r="A326" s="52"/>
      <c r="B326" s="52"/>
      <c r="C326" s="52"/>
      <c r="D326" s="53" t="s">
        <v>598</v>
      </c>
      <c r="E326" s="52"/>
      <c r="F326" s="52"/>
      <c r="G326" s="52"/>
      <c r="H326" s="52"/>
      <c r="I326" s="52"/>
      <c r="J326" s="52"/>
      <c r="K326" s="54">
        <v>190.239</v>
      </c>
      <c r="L326" s="55">
        <f>ROUND((M321+M322+M323+M324+M325)*(1+M2/100),2)</f>
        <v>42.23</v>
      </c>
      <c r="M326" s="55">
        <f>ROUND(K326*L326,2)</f>
        <v>8033.79</v>
      </c>
    </row>
    <row r="327" spans="1:13">
      <c r="A327" s="56" t="s">
        <v>612</v>
      </c>
      <c r="B327" s="57" t="s">
        <v>431</v>
      </c>
      <c r="C327" s="57" t="s">
        <v>3</v>
      </c>
      <c r="D327" s="58" t="s">
        <v>613</v>
      </c>
      <c r="E327" s="58"/>
      <c r="F327" s="58"/>
      <c r="G327" s="58"/>
      <c r="H327" s="58"/>
      <c r="I327" s="58"/>
      <c r="J327" s="58"/>
      <c r="K327" s="59">
        <f>ROUND(11,2)</f>
        <v>11</v>
      </c>
      <c r="L327" s="60">
        <f>L333</f>
        <v>223.01</v>
      </c>
      <c r="M327" s="60">
        <f>ROUND(K327*L327,2)</f>
        <v>2453.11</v>
      </c>
    </row>
    <row r="328" spans="1:13">
      <c r="A328" s="39"/>
      <c r="B328" s="39"/>
      <c r="C328" s="39"/>
      <c r="D328" s="36" t="s">
        <v>614</v>
      </c>
      <c r="E328" s="36"/>
      <c r="F328" s="36"/>
      <c r="G328" s="36"/>
      <c r="H328" s="36"/>
      <c r="I328" s="36"/>
      <c r="J328" s="36"/>
      <c r="K328" s="36"/>
      <c r="L328" s="36"/>
      <c r="M328" s="36"/>
    </row>
    <row r="329" spans="1:13">
      <c r="A329" s="35" t="s">
        <v>529</v>
      </c>
      <c r="B329" s="35" t="s">
        <v>455</v>
      </c>
      <c r="C329" s="35" t="s">
        <v>456</v>
      </c>
      <c r="D329" s="36" t="s">
        <v>530</v>
      </c>
      <c r="E329" s="36"/>
      <c r="F329" s="36"/>
      <c r="G329" s="36"/>
      <c r="H329" s="36"/>
      <c r="I329" s="36"/>
      <c r="J329" s="36"/>
      <c r="K329" s="37">
        <v>1</v>
      </c>
      <c r="L329" s="37">
        <f>ROUND(17.32,3)</f>
        <v>17.32</v>
      </c>
      <c r="M329" s="38">
        <f t="shared" ref="M329:M334" si="13">ROUND(K329*L329,2)</f>
        <v>17.32</v>
      </c>
    </row>
    <row r="330" spans="1:13">
      <c r="A330" s="35" t="s">
        <v>527</v>
      </c>
      <c r="B330" s="35" t="s">
        <v>455</v>
      </c>
      <c r="C330" s="35" t="s">
        <v>456</v>
      </c>
      <c r="D330" s="36" t="s">
        <v>528</v>
      </c>
      <c r="E330" s="36"/>
      <c r="F330" s="36"/>
      <c r="G330" s="36"/>
      <c r="H330" s="36"/>
      <c r="I330" s="36"/>
      <c r="J330" s="36"/>
      <c r="K330" s="37">
        <v>1</v>
      </c>
      <c r="L330" s="37">
        <f>ROUND(20.33,3)</f>
        <v>20.329999999999998</v>
      </c>
      <c r="M330" s="38">
        <f t="shared" si="13"/>
        <v>20.329999999999998</v>
      </c>
    </row>
    <row r="331" spans="1:13">
      <c r="A331" s="35" t="s">
        <v>615</v>
      </c>
      <c r="B331" s="35" t="s">
        <v>451</v>
      </c>
      <c r="C331" s="35" t="s">
        <v>3</v>
      </c>
      <c r="D331" s="36" t="s">
        <v>616</v>
      </c>
      <c r="E331" s="36"/>
      <c r="F331" s="36"/>
      <c r="G331" s="36"/>
      <c r="H331" s="36"/>
      <c r="I331" s="36"/>
      <c r="J331" s="36"/>
      <c r="K331" s="37">
        <v>1</v>
      </c>
      <c r="L331" s="37">
        <f>ROUND(152.23,3)</f>
        <v>152.22999999999999</v>
      </c>
      <c r="M331" s="38">
        <f t="shared" si="13"/>
        <v>152.22999999999999</v>
      </c>
    </row>
    <row r="332" spans="1:13">
      <c r="A332" s="35" t="s">
        <v>617</v>
      </c>
      <c r="B332" s="35" t="s">
        <v>451</v>
      </c>
      <c r="C332" s="35" t="s">
        <v>3</v>
      </c>
      <c r="D332" s="36" t="s">
        <v>618</v>
      </c>
      <c r="E332" s="36"/>
      <c r="F332" s="36"/>
      <c r="G332" s="36"/>
      <c r="H332" s="36"/>
      <c r="I332" s="36"/>
      <c r="J332" s="36"/>
      <c r="K332" s="37">
        <v>1</v>
      </c>
      <c r="L332" s="37">
        <f>ROUND(26.63,3)</f>
        <v>26.63</v>
      </c>
      <c r="M332" s="38">
        <f t="shared" si="13"/>
        <v>26.63</v>
      </c>
    </row>
    <row r="333" spans="1:13">
      <c r="A333" s="52"/>
      <c r="B333" s="52"/>
      <c r="C333" s="52"/>
      <c r="D333" s="53" t="s">
        <v>612</v>
      </c>
      <c r="E333" s="52"/>
      <c r="F333" s="52"/>
      <c r="G333" s="52"/>
      <c r="H333" s="52"/>
      <c r="I333" s="52"/>
      <c r="J333" s="52"/>
      <c r="K333" s="54">
        <v>11</v>
      </c>
      <c r="L333" s="55">
        <f>ROUND((M329+M330+M331+M332)*(1+M2/100),2)</f>
        <v>223.01</v>
      </c>
      <c r="M333" s="55">
        <f t="shared" si="13"/>
        <v>2453.11</v>
      </c>
    </row>
    <row r="334" spans="1:13">
      <c r="A334" s="56" t="s">
        <v>619</v>
      </c>
      <c r="B334" s="57" t="s">
        <v>431</v>
      </c>
      <c r="C334" s="57" t="s">
        <v>3</v>
      </c>
      <c r="D334" s="58" t="s">
        <v>620</v>
      </c>
      <c r="E334" s="58"/>
      <c r="F334" s="58"/>
      <c r="G334" s="58"/>
      <c r="H334" s="58"/>
      <c r="I334" s="58"/>
      <c r="J334" s="58"/>
      <c r="K334" s="59">
        <f>ROUND(1,2)</f>
        <v>1</v>
      </c>
      <c r="L334" s="60">
        <f>ROUND(1500*(1+M2/100),2)</f>
        <v>1545</v>
      </c>
      <c r="M334" s="60">
        <f t="shared" si="13"/>
        <v>1545</v>
      </c>
    </row>
    <row r="335" spans="1:13">
      <c r="A335" s="39"/>
      <c r="B335" s="39"/>
      <c r="C335" s="39"/>
      <c r="D335" s="36" t="s">
        <v>621</v>
      </c>
      <c r="E335" s="36"/>
      <c r="F335" s="36"/>
      <c r="G335" s="36"/>
      <c r="H335" s="36"/>
      <c r="I335" s="36"/>
      <c r="J335" s="36"/>
      <c r="K335" s="36"/>
      <c r="L335" s="36"/>
      <c r="M335" s="36"/>
    </row>
    <row r="336" spans="1:13">
      <c r="A336" s="34" t="s">
        <v>622</v>
      </c>
      <c r="B336" s="35" t="s">
        <v>431</v>
      </c>
      <c r="C336" s="35" t="s">
        <v>3</v>
      </c>
      <c r="D336" s="36" t="s">
        <v>623</v>
      </c>
      <c r="E336" s="36"/>
      <c r="F336" s="36"/>
      <c r="G336" s="36"/>
      <c r="H336" s="36"/>
      <c r="I336" s="36"/>
      <c r="J336" s="36"/>
      <c r="K336" s="37">
        <f>ROUND(11,2)</f>
        <v>11</v>
      </c>
      <c r="L336" s="38">
        <f>L342</f>
        <v>1595.6</v>
      </c>
      <c r="M336" s="38">
        <f>ROUND(K336*L336,2)</f>
        <v>17551.599999999999</v>
      </c>
    </row>
    <row r="337" spans="1:13">
      <c r="A337" s="39"/>
      <c r="B337" s="39"/>
      <c r="C337" s="39"/>
      <c r="D337" s="36" t="s">
        <v>624</v>
      </c>
      <c r="E337" s="36"/>
      <c r="F337" s="36"/>
      <c r="G337" s="36"/>
      <c r="H337" s="36"/>
      <c r="I337" s="36"/>
      <c r="J337" s="36"/>
      <c r="K337" s="36"/>
      <c r="L337" s="36"/>
      <c r="M337" s="36"/>
    </row>
    <row r="338" spans="1:13">
      <c r="A338" s="35" t="s">
        <v>529</v>
      </c>
      <c r="B338" s="35" t="s">
        <v>455</v>
      </c>
      <c r="C338" s="35" t="s">
        <v>456</v>
      </c>
      <c r="D338" s="36" t="s">
        <v>530</v>
      </c>
      <c r="E338" s="36"/>
      <c r="F338" s="36"/>
      <c r="G338" s="36"/>
      <c r="H338" s="36"/>
      <c r="I338" s="36"/>
      <c r="J338" s="36"/>
      <c r="K338" s="37">
        <v>0.88</v>
      </c>
      <c r="L338" s="37">
        <f>ROUND(17.32,3)</f>
        <v>17.32</v>
      </c>
      <c r="M338" s="38">
        <f t="shared" ref="M338:M343" si="14">ROUND(K338*L338,2)</f>
        <v>15.24</v>
      </c>
    </row>
    <row r="339" spans="1:13">
      <c r="A339" s="35" t="s">
        <v>527</v>
      </c>
      <c r="B339" s="35" t="s">
        <v>455</v>
      </c>
      <c r="C339" s="35" t="s">
        <v>456</v>
      </c>
      <c r="D339" s="36" t="s">
        <v>528</v>
      </c>
      <c r="E339" s="36"/>
      <c r="F339" s="36"/>
      <c r="G339" s="36"/>
      <c r="H339" s="36"/>
      <c r="I339" s="36"/>
      <c r="J339" s="36"/>
      <c r="K339" s="37">
        <v>0.88</v>
      </c>
      <c r="L339" s="37">
        <f>ROUND(20.33,3)</f>
        <v>20.329999999999998</v>
      </c>
      <c r="M339" s="38">
        <f t="shared" si="14"/>
        <v>17.89</v>
      </c>
    </row>
    <row r="340" spans="1:13">
      <c r="A340" s="35" t="s">
        <v>625</v>
      </c>
      <c r="B340" s="35" t="s">
        <v>451</v>
      </c>
      <c r="C340" s="35" t="s">
        <v>3</v>
      </c>
      <c r="D340" s="36" t="s">
        <v>626</v>
      </c>
      <c r="E340" s="36"/>
      <c r="F340" s="36"/>
      <c r="G340" s="36"/>
      <c r="H340" s="36"/>
      <c r="I340" s="36"/>
      <c r="J340" s="36"/>
      <c r="K340" s="37">
        <v>1</v>
      </c>
      <c r="L340" s="37">
        <f>ROUND(1512.4,3)</f>
        <v>1512.4</v>
      </c>
      <c r="M340" s="38">
        <f t="shared" si="14"/>
        <v>1512.4</v>
      </c>
    </row>
    <row r="341" spans="1:13" ht="22.5">
      <c r="A341" s="35" t="s">
        <v>531</v>
      </c>
      <c r="B341" s="35" t="s">
        <v>451</v>
      </c>
      <c r="C341" s="35" t="s">
        <v>56</v>
      </c>
      <c r="D341" s="36" t="s">
        <v>532</v>
      </c>
      <c r="E341" s="36"/>
      <c r="F341" s="36"/>
      <c r="G341" s="36"/>
      <c r="H341" s="36"/>
      <c r="I341" s="36"/>
      <c r="J341" s="36"/>
      <c r="K341" s="37">
        <v>9</v>
      </c>
      <c r="L341" s="37">
        <f>ROUND(0.4,3)</f>
        <v>0.4</v>
      </c>
      <c r="M341" s="38">
        <f t="shared" si="14"/>
        <v>3.6</v>
      </c>
    </row>
    <row r="342" spans="1:13">
      <c r="A342" s="52"/>
      <c r="B342" s="52"/>
      <c r="C342" s="52"/>
      <c r="D342" s="53" t="s">
        <v>622</v>
      </c>
      <c r="E342" s="52"/>
      <c r="F342" s="52"/>
      <c r="G342" s="52"/>
      <c r="H342" s="52"/>
      <c r="I342" s="52"/>
      <c r="J342" s="52"/>
      <c r="K342" s="54">
        <v>11</v>
      </c>
      <c r="L342" s="55">
        <f>ROUND((M338+M339+M340+M341)*(1+M2/100),2)</f>
        <v>1595.6</v>
      </c>
      <c r="M342" s="55">
        <f t="shared" si="14"/>
        <v>17551.599999999999</v>
      </c>
    </row>
    <row r="343" spans="1:13">
      <c r="A343" s="56" t="s">
        <v>627</v>
      </c>
      <c r="B343" s="57" t="s">
        <v>431</v>
      </c>
      <c r="C343" s="57" t="s">
        <v>3</v>
      </c>
      <c r="D343" s="58" t="s">
        <v>628</v>
      </c>
      <c r="E343" s="58"/>
      <c r="F343" s="58"/>
      <c r="G343" s="58"/>
      <c r="H343" s="58"/>
      <c r="I343" s="58"/>
      <c r="J343" s="58"/>
      <c r="K343" s="59">
        <f>ROUND(11,2)</f>
        <v>11</v>
      </c>
      <c r="L343" s="60">
        <f>L348</f>
        <v>192.57</v>
      </c>
      <c r="M343" s="60">
        <f t="shared" si="14"/>
        <v>2118.27</v>
      </c>
    </row>
    <row r="344" spans="1:13">
      <c r="A344" s="39"/>
      <c r="B344" s="39"/>
      <c r="C344" s="39"/>
      <c r="D344" s="36" t="s">
        <v>629</v>
      </c>
      <c r="E344" s="36"/>
      <c r="F344" s="36"/>
      <c r="G344" s="36"/>
      <c r="H344" s="36"/>
      <c r="I344" s="36"/>
      <c r="J344" s="36"/>
      <c r="K344" s="36"/>
      <c r="L344" s="36"/>
      <c r="M344" s="36"/>
    </row>
    <row r="345" spans="1:13">
      <c r="A345" s="35" t="s">
        <v>529</v>
      </c>
      <c r="B345" s="35" t="s">
        <v>455</v>
      </c>
      <c r="C345" s="35" t="s">
        <v>456</v>
      </c>
      <c r="D345" s="36" t="s">
        <v>530</v>
      </c>
      <c r="E345" s="36"/>
      <c r="F345" s="36"/>
      <c r="G345" s="36"/>
      <c r="H345" s="36"/>
      <c r="I345" s="36"/>
      <c r="J345" s="36"/>
      <c r="K345" s="37">
        <v>1</v>
      </c>
      <c r="L345" s="37">
        <f>ROUND(17.32,3)</f>
        <v>17.32</v>
      </c>
      <c r="M345" s="38">
        <f>ROUND(K345*L345,2)</f>
        <v>17.32</v>
      </c>
    </row>
    <row r="346" spans="1:13">
      <c r="A346" s="35" t="s">
        <v>458</v>
      </c>
      <c r="B346" s="35" t="s">
        <v>455</v>
      </c>
      <c r="C346" s="35" t="s">
        <v>456</v>
      </c>
      <c r="D346" s="36" t="s">
        <v>459</v>
      </c>
      <c r="E346" s="36"/>
      <c r="F346" s="36"/>
      <c r="G346" s="36"/>
      <c r="H346" s="36"/>
      <c r="I346" s="36"/>
      <c r="J346" s="36"/>
      <c r="K346" s="37">
        <v>1</v>
      </c>
      <c r="L346" s="37">
        <f>ROUND(17.32,3)</f>
        <v>17.32</v>
      </c>
      <c r="M346" s="38">
        <f>ROUND(K346*L346,2)</f>
        <v>17.32</v>
      </c>
    </row>
    <row r="347" spans="1:13">
      <c r="A347" s="35" t="s">
        <v>630</v>
      </c>
      <c r="B347" s="35" t="s">
        <v>451</v>
      </c>
      <c r="C347" s="35" t="s">
        <v>3</v>
      </c>
      <c r="D347" s="36" t="s">
        <v>631</v>
      </c>
      <c r="E347" s="36"/>
      <c r="F347" s="36"/>
      <c r="G347" s="36"/>
      <c r="H347" s="36"/>
      <c r="I347" s="36"/>
      <c r="J347" s="36"/>
      <c r="K347" s="37">
        <v>1</v>
      </c>
      <c r="L347" s="37">
        <f>ROUND(152.32,3)</f>
        <v>152.32</v>
      </c>
      <c r="M347" s="38">
        <f>ROUND(K347*L347,2)</f>
        <v>152.32</v>
      </c>
    </row>
    <row r="348" spans="1:13">
      <c r="A348" s="52"/>
      <c r="B348" s="52"/>
      <c r="C348" s="52"/>
      <c r="D348" s="53" t="s">
        <v>627</v>
      </c>
      <c r="E348" s="52"/>
      <c r="F348" s="52"/>
      <c r="G348" s="52"/>
      <c r="H348" s="52"/>
      <c r="I348" s="52"/>
      <c r="J348" s="52"/>
      <c r="K348" s="54">
        <v>11</v>
      </c>
      <c r="L348" s="55">
        <f>ROUND((M345+M346+M347)*(1+M2/100),2)</f>
        <v>192.57</v>
      </c>
      <c r="M348" s="55">
        <f>ROUND(K348*L348,2)</f>
        <v>2118.27</v>
      </c>
    </row>
    <row r="349" spans="1:13">
      <c r="A349" s="56" t="s">
        <v>650</v>
      </c>
      <c r="B349" s="57" t="s">
        <v>431</v>
      </c>
      <c r="C349" s="57" t="s">
        <v>422</v>
      </c>
      <c r="D349" s="58" t="s">
        <v>633</v>
      </c>
      <c r="E349" s="58"/>
      <c r="F349" s="58"/>
      <c r="G349" s="58"/>
      <c r="H349" s="58"/>
      <c r="I349" s="58"/>
      <c r="J349" s="58"/>
      <c r="K349" s="59">
        <f>ROUND(11,2)</f>
        <v>11</v>
      </c>
      <c r="L349" s="60">
        <f>L354</f>
        <v>47.15</v>
      </c>
      <c r="M349" s="60">
        <f>ROUND(K349*L349,2)</f>
        <v>518.65</v>
      </c>
    </row>
    <row r="350" spans="1:13" ht="56.25">
      <c r="A350" s="39"/>
      <c r="B350" s="39"/>
      <c r="C350" s="39"/>
      <c r="D350" s="36" t="s">
        <v>634</v>
      </c>
      <c r="E350" s="36"/>
      <c r="F350" s="36"/>
      <c r="G350" s="36"/>
      <c r="H350" s="36"/>
      <c r="I350" s="36"/>
      <c r="J350" s="36"/>
      <c r="K350" s="36"/>
      <c r="L350" s="36"/>
      <c r="M350" s="36"/>
    </row>
    <row r="351" spans="1:13" ht="22.5">
      <c r="A351" s="35" t="s">
        <v>635</v>
      </c>
      <c r="B351" s="35" t="s">
        <v>451</v>
      </c>
      <c r="C351" s="35" t="s">
        <v>422</v>
      </c>
      <c r="D351" s="36" t="s">
        <v>636</v>
      </c>
      <c r="E351" s="36"/>
      <c r="F351" s="36"/>
      <c r="G351" s="36"/>
      <c r="H351" s="36"/>
      <c r="I351" s="36"/>
      <c r="J351" s="36"/>
      <c r="K351" s="37">
        <v>1</v>
      </c>
      <c r="L351" s="37">
        <f>ROUND(39.29,3)</f>
        <v>39.29</v>
      </c>
      <c r="M351" s="38">
        <f>ROUND(K351*L351,2)</f>
        <v>39.29</v>
      </c>
    </row>
    <row r="352" spans="1:13">
      <c r="A352" s="35" t="s">
        <v>493</v>
      </c>
      <c r="B352" s="35" t="s">
        <v>455</v>
      </c>
      <c r="C352" s="35" t="s">
        <v>456</v>
      </c>
      <c r="D352" s="36" t="s">
        <v>494</v>
      </c>
      <c r="E352" s="36"/>
      <c r="F352" s="36"/>
      <c r="G352" s="36"/>
      <c r="H352" s="36"/>
      <c r="I352" s="36"/>
      <c r="J352" s="36"/>
      <c r="K352" s="37">
        <v>0.27500000000000002</v>
      </c>
      <c r="L352" s="37">
        <f>ROUND(20.33,3)</f>
        <v>20.329999999999998</v>
      </c>
      <c r="M352" s="38">
        <f>ROUND(K352*L352,2)</f>
        <v>5.59</v>
      </c>
    </row>
    <row r="353" spans="1:13">
      <c r="A353" s="35" t="s">
        <v>460</v>
      </c>
      <c r="B353" s="35"/>
      <c r="C353" s="35" t="s">
        <v>460</v>
      </c>
      <c r="D353" s="36" t="s">
        <v>461</v>
      </c>
      <c r="E353" s="36"/>
      <c r="F353" s="36"/>
      <c r="G353" s="36"/>
      <c r="H353" s="36"/>
      <c r="I353" s="36"/>
      <c r="J353" s="36"/>
      <c r="K353" s="37">
        <v>2</v>
      </c>
      <c r="L353" s="37">
        <f>ROUND(44.88,3)</f>
        <v>44.88</v>
      </c>
      <c r="M353" s="38">
        <f>ROUND((K353*L353)/100,2)</f>
        <v>0.9</v>
      </c>
    </row>
    <row r="354" spans="1:13">
      <c r="A354" s="52"/>
      <c r="B354" s="52"/>
      <c r="C354" s="52"/>
      <c r="D354" s="53" t="s">
        <v>650</v>
      </c>
      <c r="E354" s="52"/>
      <c r="F354" s="52"/>
      <c r="G354" s="52"/>
      <c r="H354" s="52"/>
      <c r="I354" s="52"/>
      <c r="J354" s="52"/>
      <c r="K354" s="54">
        <v>11</v>
      </c>
      <c r="L354" s="55">
        <f>ROUND((M351+M352+M353)*(1+M2/100),2)</f>
        <v>47.15</v>
      </c>
      <c r="M354" s="55">
        <f>ROUND(K354*L354,2)</f>
        <v>518.65</v>
      </c>
    </row>
    <row r="355" spans="1:13">
      <c r="A355" s="56" t="s">
        <v>637</v>
      </c>
      <c r="B355" s="57" t="s">
        <v>431</v>
      </c>
      <c r="C355" s="57" t="s">
        <v>3</v>
      </c>
      <c r="D355" s="58" t="s">
        <v>638</v>
      </c>
      <c r="E355" s="58"/>
      <c r="F355" s="58"/>
      <c r="G355" s="58"/>
      <c r="H355" s="58"/>
      <c r="I355" s="58"/>
      <c r="J355" s="58"/>
      <c r="K355" s="59">
        <f>ROUND(11,2)</f>
        <v>11</v>
      </c>
      <c r="L355" s="60">
        <f>ROUND(241*(1+M2/100),2)</f>
        <v>248.23</v>
      </c>
      <c r="M355" s="60">
        <f>ROUND(K355*L355,2)</f>
        <v>2730.53</v>
      </c>
    </row>
    <row r="356" spans="1:13">
      <c r="A356" s="39"/>
      <c r="B356" s="39"/>
      <c r="C356" s="39"/>
      <c r="D356" s="36" t="s">
        <v>639</v>
      </c>
      <c r="E356" s="36"/>
      <c r="F356" s="36"/>
      <c r="G356" s="36"/>
      <c r="H356" s="36"/>
      <c r="I356" s="36"/>
      <c r="J356" s="36"/>
      <c r="K356" s="36"/>
      <c r="L356" s="36"/>
      <c r="M356" s="36"/>
    </row>
    <row r="357" spans="1:13">
      <c r="A357" s="52"/>
      <c r="B357" s="52"/>
      <c r="C357" s="52"/>
      <c r="D357" s="72" t="s">
        <v>640</v>
      </c>
      <c r="E357" s="73"/>
      <c r="F357" s="73"/>
      <c r="G357" s="73"/>
      <c r="H357" s="73"/>
      <c r="I357" s="73"/>
      <c r="J357" s="73"/>
      <c r="K357" s="73"/>
      <c r="L357" s="74">
        <f>M262+M275+M286+M290+M301+M313+M317+M327+M334+M336+M343+M349+M355</f>
        <v>46968.97</v>
      </c>
      <c r="M357" s="74">
        <f>ROUND(L357,2)</f>
        <v>46968.97</v>
      </c>
    </row>
    <row r="358" spans="1:13">
      <c r="A358" s="75" t="s">
        <v>663</v>
      </c>
      <c r="B358" s="75" t="s">
        <v>428</v>
      </c>
      <c r="C358" s="76"/>
      <c r="D358" s="77" t="s">
        <v>836</v>
      </c>
      <c r="E358" s="77"/>
      <c r="F358" s="77"/>
      <c r="G358" s="77"/>
      <c r="H358" s="77"/>
      <c r="I358" s="77"/>
      <c r="J358" s="77"/>
      <c r="K358" s="76"/>
      <c r="L358" s="78">
        <f>L398</f>
        <v>9129.57</v>
      </c>
      <c r="M358" s="78">
        <f>ROUND(L358,2)</f>
        <v>9129.57</v>
      </c>
    </row>
    <row r="359" spans="1:13" ht="22.5">
      <c r="A359" s="34" t="s">
        <v>665</v>
      </c>
      <c r="B359" s="35" t="s">
        <v>431</v>
      </c>
      <c r="C359" s="35" t="s">
        <v>3</v>
      </c>
      <c r="D359" s="36" t="s">
        <v>666</v>
      </c>
      <c r="E359" s="36"/>
      <c r="F359" s="36"/>
      <c r="G359" s="36"/>
      <c r="H359" s="36"/>
      <c r="I359" s="36"/>
      <c r="J359" s="36"/>
      <c r="K359" s="37">
        <f>SUM(K362:K362)</f>
        <v>8</v>
      </c>
      <c r="L359" s="38">
        <f>L365</f>
        <v>42.42</v>
      </c>
      <c r="M359" s="38">
        <f>ROUND(K359*L359,2)</f>
        <v>339.36</v>
      </c>
    </row>
    <row r="360" spans="1:13">
      <c r="A360" s="39"/>
      <c r="B360" s="39"/>
      <c r="C360" s="39"/>
      <c r="D360" s="36" t="s">
        <v>667</v>
      </c>
      <c r="E360" s="36"/>
      <c r="F360" s="36"/>
      <c r="G360" s="36"/>
      <c r="H360" s="36"/>
      <c r="I360" s="36"/>
      <c r="J360" s="36"/>
      <c r="K360" s="36"/>
      <c r="L360" s="36"/>
      <c r="M360" s="36"/>
    </row>
    <row r="361" spans="1:13">
      <c r="A361" s="39"/>
      <c r="B361" s="39"/>
      <c r="C361" s="39"/>
      <c r="D361" s="39"/>
      <c r="E361" s="40"/>
      <c r="F361" s="41" t="s">
        <v>434</v>
      </c>
      <c r="G361" s="41" t="s">
        <v>435</v>
      </c>
      <c r="H361" s="41" t="s">
        <v>436</v>
      </c>
      <c r="I361" s="41" t="s">
        <v>437</v>
      </c>
      <c r="J361" s="41" t="s">
        <v>438</v>
      </c>
      <c r="K361" s="41" t="s">
        <v>439</v>
      </c>
      <c r="L361" s="39"/>
      <c r="M361" s="39"/>
    </row>
    <row r="362" spans="1:13">
      <c r="A362" s="39"/>
      <c r="B362" s="39"/>
      <c r="C362" s="39"/>
      <c r="D362" s="42"/>
      <c r="E362" s="43" t="s">
        <v>669</v>
      </c>
      <c r="F362" s="44">
        <v>8</v>
      </c>
      <c r="G362" s="45"/>
      <c r="H362" s="45"/>
      <c r="I362" s="45"/>
      <c r="J362" s="46">
        <f>ROUND(F362,3)</f>
        <v>8</v>
      </c>
      <c r="K362" s="47">
        <f>SUM(J362:J362)</f>
        <v>8</v>
      </c>
      <c r="L362" s="39"/>
      <c r="M362" s="39"/>
    </row>
    <row r="363" spans="1:13">
      <c r="A363" s="35" t="s">
        <v>529</v>
      </c>
      <c r="B363" s="35" t="s">
        <v>455</v>
      </c>
      <c r="C363" s="35" t="s">
        <v>456</v>
      </c>
      <c r="D363" s="36" t="s">
        <v>530</v>
      </c>
      <c r="E363" s="36"/>
      <c r="F363" s="36"/>
      <c r="G363" s="36"/>
      <c r="H363" s="36"/>
      <c r="I363" s="36"/>
      <c r="J363" s="36"/>
      <c r="K363" s="37">
        <v>1.5</v>
      </c>
      <c r="L363" s="37">
        <f>ROUND(17.32,3)</f>
        <v>17.32</v>
      </c>
      <c r="M363" s="38">
        <f>ROUND(K363*L363,2)</f>
        <v>25.98</v>
      </c>
    </row>
    <row r="364" spans="1:13">
      <c r="A364" s="35" t="s">
        <v>670</v>
      </c>
      <c r="B364" s="35" t="s">
        <v>451</v>
      </c>
      <c r="C364" s="35" t="s">
        <v>3</v>
      </c>
      <c r="D364" s="36" t="s">
        <v>671</v>
      </c>
      <c r="E364" s="36"/>
      <c r="F364" s="36"/>
      <c r="G364" s="36"/>
      <c r="H364" s="36"/>
      <c r="I364" s="36"/>
      <c r="J364" s="36"/>
      <c r="K364" s="37">
        <v>1</v>
      </c>
      <c r="L364" s="37">
        <f>ROUND(15.2,3)</f>
        <v>15.2</v>
      </c>
      <c r="M364" s="38">
        <f>ROUND(K364*L364,2)</f>
        <v>15.2</v>
      </c>
    </row>
    <row r="365" spans="1:13">
      <c r="A365" s="52"/>
      <c r="B365" s="52"/>
      <c r="C365" s="52"/>
      <c r="D365" s="53" t="s">
        <v>665</v>
      </c>
      <c r="E365" s="52"/>
      <c r="F365" s="52"/>
      <c r="G365" s="52"/>
      <c r="H365" s="52"/>
      <c r="I365" s="52"/>
      <c r="J365" s="52"/>
      <c r="K365" s="54">
        <v>8</v>
      </c>
      <c r="L365" s="55">
        <f>ROUND((M363+M364)*(1+M2/100),2)</f>
        <v>42.42</v>
      </c>
      <c r="M365" s="55">
        <f>ROUND(K365*L365,2)</f>
        <v>339.36</v>
      </c>
    </row>
    <row r="366" spans="1:13" ht="22.5">
      <c r="A366" s="56" t="s">
        <v>672</v>
      </c>
      <c r="B366" s="57" t="s">
        <v>431</v>
      </c>
      <c r="C366" s="57" t="s">
        <v>3</v>
      </c>
      <c r="D366" s="58" t="s">
        <v>673</v>
      </c>
      <c r="E366" s="58"/>
      <c r="F366" s="58"/>
      <c r="G366" s="58"/>
      <c r="H366" s="58"/>
      <c r="I366" s="58"/>
      <c r="J366" s="58"/>
      <c r="K366" s="59">
        <f>SUM(K369:K369)</f>
        <v>8</v>
      </c>
      <c r="L366" s="60">
        <f>L372</f>
        <v>82.24</v>
      </c>
      <c r="M366" s="60">
        <f>ROUND(K366*L366,2)</f>
        <v>657.92</v>
      </c>
    </row>
    <row r="367" spans="1:13">
      <c r="A367" s="39"/>
      <c r="B367" s="39"/>
      <c r="C367" s="39"/>
      <c r="D367" s="36" t="s">
        <v>674</v>
      </c>
      <c r="E367" s="36"/>
      <c r="F367" s="36"/>
      <c r="G367" s="36"/>
      <c r="H367" s="36"/>
      <c r="I367" s="36"/>
      <c r="J367" s="36"/>
      <c r="K367" s="36"/>
      <c r="L367" s="36"/>
      <c r="M367" s="36"/>
    </row>
    <row r="368" spans="1:13">
      <c r="A368" s="39"/>
      <c r="B368" s="39"/>
      <c r="C368" s="39"/>
      <c r="D368" s="39"/>
      <c r="E368" s="40"/>
      <c r="F368" s="41" t="s">
        <v>434</v>
      </c>
      <c r="G368" s="41" t="s">
        <v>435</v>
      </c>
      <c r="H368" s="41" t="s">
        <v>436</v>
      </c>
      <c r="I368" s="41" t="s">
        <v>437</v>
      </c>
      <c r="J368" s="41" t="s">
        <v>438</v>
      </c>
      <c r="K368" s="41" t="s">
        <v>439</v>
      </c>
      <c r="L368" s="39"/>
      <c r="M368" s="39"/>
    </row>
    <row r="369" spans="1:13">
      <c r="A369" s="39"/>
      <c r="B369" s="39"/>
      <c r="C369" s="39"/>
      <c r="D369" s="42"/>
      <c r="E369" s="43" t="s">
        <v>669</v>
      </c>
      <c r="F369" s="44">
        <v>8</v>
      </c>
      <c r="G369" s="45"/>
      <c r="H369" s="45"/>
      <c r="I369" s="45"/>
      <c r="J369" s="46">
        <f>ROUND(F369,3)</f>
        <v>8</v>
      </c>
      <c r="K369" s="47">
        <f>SUM(J369:J369)</f>
        <v>8</v>
      </c>
      <c r="L369" s="39"/>
      <c r="M369" s="39"/>
    </row>
    <row r="370" spans="1:13">
      <c r="A370" s="35" t="s">
        <v>529</v>
      </c>
      <c r="B370" s="35" t="s">
        <v>455</v>
      </c>
      <c r="C370" s="35" t="s">
        <v>456</v>
      </c>
      <c r="D370" s="36" t="s">
        <v>530</v>
      </c>
      <c r="E370" s="36"/>
      <c r="F370" s="36"/>
      <c r="G370" s="36"/>
      <c r="H370" s="36"/>
      <c r="I370" s="36"/>
      <c r="J370" s="36"/>
      <c r="K370" s="37">
        <v>2</v>
      </c>
      <c r="L370" s="37">
        <f>ROUND(17.32,3)</f>
        <v>17.32</v>
      </c>
      <c r="M370" s="38">
        <f>ROUND(K370*L370,2)</f>
        <v>34.64</v>
      </c>
    </row>
    <row r="371" spans="1:13">
      <c r="A371" s="35" t="s">
        <v>675</v>
      </c>
      <c r="B371" s="35" t="s">
        <v>451</v>
      </c>
      <c r="C371" s="35" t="s">
        <v>3</v>
      </c>
      <c r="D371" s="36" t="s">
        <v>676</v>
      </c>
      <c r="E371" s="36"/>
      <c r="F371" s="36"/>
      <c r="G371" s="36"/>
      <c r="H371" s="36"/>
      <c r="I371" s="36"/>
      <c r="J371" s="36"/>
      <c r="K371" s="37">
        <v>1</v>
      </c>
      <c r="L371" s="37">
        <f>ROUND(45.2,3)</f>
        <v>45.2</v>
      </c>
      <c r="M371" s="38">
        <f>ROUND(K371*L371,2)</f>
        <v>45.2</v>
      </c>
    </row>
    <row r="372" spans="1:13">
      <c r="A372" s="52"/>
      <c r="B372" s="52"/>
      <c r="C372" s="52"/>
      <c r="D372" s="53" t="s">
        <v>672</v>
      </c>
      <c r="E372" s="52"/>
      <c r="F372" s="52"/>
      <c r="G372" s="52"/>
      <c r="H372" s="52"/>
      <c r="I372" s="52"/>
      <c r="J372" s="52"/>
      <c r="K372" s="54">
        <v>8</v>
      </c>
      <c r="L372" s="55">
        <f>ROUND((M370+M371)*(1+M2/100),2)</f>
        <v>82.24</v>
      </c>
      <c r="M372" s="55">
        <f>ROUND(K372*L372,2)</f>
        <v>657.92</v>
      </c>
    </row>
    <row r="373" spans="1:13" ht="45">
      <c r="A373" s="56" t="s">
        <v>680</v>
      </c>
      <c r="B373" s="57" t="s">
        <v>431</v>
      </c>
      <c r="C373" s="57" t="s">
        <v>422</v>
      </c>
      <c r="D373" s="58" t="s">
        <v>681</v>
      </c>
      <c r="E373" s="58"/>
      <c r="F373" s="58"/>
      <c r="G373" s="58"/>
      <c r="H373" s="58"/>
      <c r="I373" s="58"/>
      <c r="J373" s="58"/>
      <c r="K373" s="59">
        <f>SUM(K376:K376)</f>
        <v>41</v>
      </c>
      <c r="L373" s="60">
        <f>L381</f>
        <v>26.29</v>
      </c>
      <c r="M373" s="60">
        <f>ROUND(K373*L373,2)</f>
        <v>1077.8900000000001</v>
      </c>
    </row>
    <row r="374" spans="1:13" ht="78.75">
      <c r="A374" s="39"/>
      <c r="B374" s="39"/>
      <c r="C374" s="39"/>
      <c r="D374" s="36" t="s">
        <v>682</v>
      </c>
      <c r="E374" s="36"/>
      <c r="F374" s="36"/>
      <c r="G374" s="36"/>
      <c r="H374" s="36"/>
      <c r="I374" s="36"/>
      <c r="J374" s="36"/>
      <c r="K374" s="36"/>
      <c r="L374" s="36"/>
      <c r="M374" s="36"/>
    </row>
    <row r="375" spans="1:13">
      <c r="A375" s="39"/>
      <c r="B375" s="39"/>
      <c r="C375" s="39"/>
      <c r="D375" s="39"/>
      <c r="E375" s="40"/>
      <c r="F375" s="41" t="s">
        <v>434</v>
      </c>
      <c r="G375" s="41" t="s">
        <v>435</v>
      </c>
      <c r="H375" s="41" t="s">
        <v>436</v>
      </c>
      <c r="I375" s="41" t="s">
        <v>437</v>
      </c>
      <c r="J375" s="41" t="s">
        <v>438</v>
      </c>
      <c r="K375" s="41" t="s">
        <v>439</v>
      </c>
      <c r="L375" s="39"/>
      <c r="M375" s="39"/>
    </row>
    <row r="376" spans="1:13">
      <c r="A376" s="39"/>
      <c r="B376" s="39"/>
      <c r="C376" s="39"/>
      <c r="D376" s="42"/>
      <c r="E376" s="43"/>
      <c r="F376" s="44">
        <v>41</v>
      </c>
      <c r="G376" s="45"/>
      <c r="H376" s="45"/>
      <c r="I376" s="45"/>
      <c r="J376" s="46">
        <f>ROUND(F376,3)</f>
        <v>41</v>
      </c>
      <c r="K376" s="47">
        <f>SUM(J376:J376)</f>
        <v>41</v>
      </c>
      <c r="L376" s="39"/>
      <c r="M376" s="39"/>
    </row>
    <row r="377" spans="1:13">
      <c r="A377" s="35" t="s">
        <v>683</v>
      </c>
      <c r="B377" s="35" t="s">
        <v>451</v>
      </c>
      <c r="C377" s="35" t="s">
        <v>684</v>
      </c>
      <c r="D377" s="36" t="s">
        <v>685</v>
      </c>
      <c r="E377" s="36"/>
      <c r="F377" s="36"/>
      <c r="G377" s="36"/>
      <c r="H377" s="36"/>
      <c r="I377" s="36"/>
      <c r="J377" s="36"/>
      <c r="K377" s="37">
        <v>2.1999999999999999E-2</v>
      </c>
      <c r="L377" s="37">
        <f>ROUND(2.42,3)</f>
        <v>2.42</v>
      </c>
      <c r="M377" s="38">
        <f>ROUND(K377*L377,2)</f>
        <v>0.05</v>
      </c>
    </row>
    <row r="378" spans="1:13">
      <c r="A378" s="35" t="s">
        <v>686</v>
      </c>
      <c r="B378" s="35" t="s">
        <v>451</v>
      </c>
      <c r="C378" s="35" t="s">
        <v>422</v>
      </c>
      <c r="D378" s="36" t="s">
        <v>687</v>
      </c>
      <c r="E378" s="36"/>
      <c r="F378" s="36"/>
      <c r="G378" s="36"/>
      <c r="H378" s="36"/>
      <c r="I378" s="36"/>
      <c r="J378" s="36"/>
      <c r="K378" s="37">
        <v>1.611</v>
      </c>
      <c r="L378" s="37">
        <f>ROUND(12.26,3)</f>
        <v>12.26</v>
      </c>
      <c r="M378" s="38">
        <f>ROUND(K378*L378,2)</f>
        <v>19.75</v>
      </c>
    </row>
    <row r="379" spans="1:13">
      <c r="A379" s="35" t="s">
        <v>549</v>
      </c>
      <c r="B379" s="35" t="s">
        <v>455</v>
      </c>
      <c r="C379" s="35" t="s">
        <v>456</v>
      </c>
      <c r="D379" s="36" t="s">
        <v>550</v>
      </c>
      <c r="E379" s="36"/>
      <c r="F379" s="36"/>
      <c r="G379" s="36"/>
      <c r="H379" s="36"/>
      <c r="I379" s="36"/>
      <c r="J379" s="36"/>
      <c r="K379" s="37">
        <v>0.32900000000000001</v>
      </c>
      <c r="L379" s="37">
        <f>ROUND(15.88,3)</f>
        <v>15.88</v>
      </c>
      <c r="M379" s="38">
        <f>ROUND(K379*L379,2)</f>
        <v>5.22</v>
      </c>
    </row>
    <row r="380" spans="1:13">
      <c r="A380" s="35" t="s">
        <v>460</v>
      </c>
      <c r="B380" s="35"/>
      <c r="C380" s="35" t="s">
        <v>460</v>
      </c>
      <c r="D380" s="36" t="s">
        <v>461</v>
      </c>
      <c r="E380" s="36"/>
      <c r="F380" s="36"/>
      <c r="G380" s="36"/>
      <c r="H380" s="36"/>
      <c r="I380" s="36"/>
      <c r="J380" s="36"/>
      <c r="K380" s="37">
        <v>2</v>
      </c>
      <c r="L380" s="37">
        <f>ROUND(25.02,3)</f>
        <v>25.02</v>
      </c>
      <c r="M380" s="38">
        <f>ROUND((K380*L380)/100,2)</f>
        <v>0.5</v>
      </c>
    </row>
    <row r="381" spans="1:13">
      <c r="A381" s="52"/>
      <c r="B381" s="52"/>
      <c r="C381" s="52"/>
      <c r="D381" s="53" t="s">
        <v>680</v>
      </c>
      <c r="E381" s="52"/>
      <c r="F381" s="52"/>
      <c r="G381" s="52"/>
      <c r="H381" s="52"/>
      <c r="I381" s="52"/>
      <c r="J381" s="52"/>
      <c r="K381" s="54">
        <v>41</v>
      </c>
      <c r="L381" s="55">
        <f>ROUND((M377+M378+M379+M380)*(1+M2/100),2)</f>
        <v>26.29</v>
      </c>
      <c r="M381" s="55">
        <f>ROUND(K381*L381,2)</f>
        <v>1077.8900000000001</v>
      </c>
    </row>
    <row r="382" spans="1:13">
      <c r="A382" s="56" t="s">
        <v>677</v>
      </c>
      <c r="B382" s="57" t="s">
        <v>431</v>
      </c>
      <c r="C382" s="57" t="s">
        <v>678</v>
      </c>
      <c r="D382" s="58" t="s">
        <v>679</v>
      </c>
      <c r="E382" s="58"/>
      <c r="F382" s="58"/>
      <c r="G382" s="58"/>
      <c r="H382" s="58"/>
      <c r="I382" s="58"/>
      <c r="J382" s="58"/>
      <c r="K382" s="59">
        <f>SUM(K385:K385)</f>
        <v>1</v>
      </c>
      <c r="L382" s="60">
        <f>ROUND(466.019*(1+M2/100),2)</f>
        <v>480</v>
      </c>
      <c r="M382" s="60">
        <f>ROUND(K382*L382,2)</f>
        <v>480</v>
      </c>
    </row>
    <row r="383" spans="1:13">
      <c r="A383" s="39"/>
      <c r="B383" s="39"/>
      <c r="C383" s="39"/>
      <c r="D383" s="36" t="s">
        <v>679</v>
      </c>
      <c r="E383" s="36"/>
      <c r="F383" s="36"/>
      <c r="G383" s="36"/>
      <c r="H383" s="36"/>
      <c r="I383" s="36"/>
      <c r="J383" s="36"/>
      <c r="K383" s="36"/>
      <c r="L383" s="36"/>
      <c r="M383" s="36"/>
    </row>
    <row r="384" spans="1:13">
      <c r="A384" s="39"/>
      <c r="B384" s="39"/>
      <c r="C384" s="39"/>
      <c r="D384" s="39"/>
      <c r="E384" s="40"/>
      <c r="F384" s="41" t="s">
        <v>434</v>
      </c>
      <c r="G384" s="41" t="s">
        <v>435</v>
      </c>
      <c r="H384" s="41" t="s">
        <v>436</v>
      </c>
      <c r="I384" s="41" t="s">
        <v>437</v>
      </c>
      <c r="J384" s="41" t="s">
        <v>438</v>
      </c>
      <c r="K384" s="41" t="s">
        <v>439</v>
      </c>
      <c r="L384" s="39"/>
      <c r="M384" s="39"/>
    </row>
    <row r="385" spans="1:13">
      <c r="A385" s="39"/>
      <c r="B385" s="39"/>
      <c r="C385" s="39"/>
      <c r="D385" s="42"/>
      <c r="E385" s="43"/>
      <c r="F385" s="44">
        <v>1</v>
      </c>
      <c r="G385" s="45"/>
      <c r="H385" s="45"/>
      <c r="I385" s="45"/>
      <c r="J385" s="46">
        <f>ROUND(F385,3)</f>
        <v>1</v>
      </c>
      <c r="K385" s="47">
        <f>SUM(J385:J385)</f>
        <v>1</v>
      </c>
      <c r="L385" s="39"/>
      <c r="M385" s="39"/>
    </row>
    <row r="386" spans="1:13">
      <c r="A386" s="34" t="s">
        <v>688</v>
      </c>
      <c r="B386" s="35" t="s">
        <v>431</v>
      </c>
      <c r="C386" s="35" t="s">
        <v>534</v>
      </c>
      <c r="D386" s="36" t="s">
        <v>689</v>
      </c>
      <c r="E386" s="36"/>
      <c r="F386" s="36"/>
      <c r="G386" s="36"/>
      <c r="H386" s="36"/>
      <c r="I386" s="36"/>
      <c r="J386" s="36"/>
      <c r="K386" s="37">
        <f>ROUND(280,2)</f>
        <v>280</v>
      </c>
      <c r="L386" s="38">
        <f>L397</f>
        <v>23.48</v>
      </c>
      <c r="M386" s="38">
        <f>ROUND(K386*L386,2)</f>
        <v>6574.4</v>
      </c>
    </row>
    <row r="387" spans="1:13" ht="112.5">
      <c r="A387" s="39"/>
      <c r="B387" s="39"/>
      <c r="C387" s="39"/>
      <c r="D387" s="36" t="s">
        <v>690</v>
      </c>
      <c r="E387" s="36"/>
      <c r="F387" s="36"/>
      <c r="G387" s="36"/>
      <c r="H387" s="36"/>
      <c r="I387" s="36"/>
      <c r="J387" s="36"/>
      <c r="K387" s="36"/>
      <c r="L387" s="36"/>
      <c r="M387" s="36"/>
    </row>
    <row r="388" spans="1:13" ht="22.5">
      <c r="A388" s="35" t="s">
        <v>691</v>
      </c>
      <c r="B388" s="35" t="s">
        <v>451</v>
      </c>
      <c r="C388" s="35" t="s">
        <v>534</v>
      </c>
      <c r="D388" s="36" t="s">
        <v>692</v>
      </c>
      <c r="E388" s="36"/>
      <c r="F388" s="36"/>
      <c r="G388" s="36"/>
      <c r="H388" s="36"/>
      <c r="I388" s="36"/>
      <c r="J388" s="36"/>
      <c r="K388" s="37">
        <v>1.02</v>
      </c>
      <c r="L388" s="37">
        <f>ROUND(9.23,3)</f>
        <v>9.23</v>
      </c>
      <c r="M388" s="38">
        <f t="shared" ref="M388:M395" si="15">ROUND(K388*L388,2)</f>
        <v>9.41</v>
      </c>
    </row>
    <row r="389" spans="1:13">
      <c r="A389" s="35" t="s">
        <v>693</v>
      </c>
      <c r="B389" s="35" t="s">
        <v>451</v>
      </c>
      <c r="C389" s="35" t="s">
        <v>56</v>
      </c>
      <c r="D389" s="36" t="s">
        <v>694</v>
      </c>
      <c r="E389" s="36"/>
      <c r="F389" s="36"/>
      <c r="G389" s="36"/>
      <c r="H389" s="36"/>
      <c r="I389" s="36"/>
      <c r="J389" s="36"/>
      <c r="K389" s="37">
        <v>0.7</v>
      </c>
      <c r="L389" s="37">
        <f>ROUND(0.67,3)</f>
        <v>0.67</v>
      </c>
      <c r="M389" s="38">
        <f t="shared" si="15"/>
        <v>0.47</v>
      </c>
    </row>
    <row r="390" spans="1:13">
      <c r="A390" s="35" t="s">
        <v>695</v>
      </c>
      <c r="B390" s="35" t="s">
        <v>451</v>
      </c>
      <c r="C390" s="35" t="s">
        <v>56</v>
      </c>
      <c r="D390" s="36" t="s">
        <v>696</v>
      </c>
      <c r="E390" s="36"/>
      <c r="F390" s="36"/>
      <c r="G390" s="36"/>
      <c r="H390" s="36"/>
      <c r="I390" s="36"/>
      <c r="J390" s="36"/>
      <c r="K390" s="37">
        <v>1.5</v>
      </c>
      <c r="L390" s="37">
        <f>ROUND(0.67,3)</f>
        <v>0.67</v>
      </c>
      <c r="M390" s="38">
        <f t="shared" si="15"/>
        <v>1.01</v>
      </c>
    </row>
    <row r="391" spans="1:13" ht="22.5">
      <c r="A391" s="35" t="s">
        <v>697</v>
      </c>
      <c r="B391" s="35" t="s">
        <v>451</v>
      </c>
      <c r="C391" s="35" t="s">
        <v>56</v>
      </c>
      <c r="D391" s="36" t="s">
        <v>698</v>
      </c>
      <c r="E391" s="36"/>
      <c r="F391" s="36"/>
      <c r="G391" s="36"/>
      <c r="H391" s="36"/>
      <c r="I391" s="36"/>
      <c r="J391" s="36"/>
      <c r="K391" s="37">
        <v>0.4</v>
      </c>
      <c r="L391" s="37">
        <f>ROUND(0.5,3)</f>
        <v>0.5</v>
      </c>
      <c r="M391" s="38">
        <f t="shared" si="15"/>
        <v>0.2</v>
      </c>
    </row>
    <row r="392" spans="1:13">
      <c r="A392" s="35" t="s">
        <v>699</v>
      </c>
      <c r="B392" s="35" t="s">
        <v>451</v>
      </c>
      <c r="C392" s="35" t="s">
        <v>422</v>
      </c>
      <c r="D392" s="36" t="s">
        <v>700</v>
      </c>
      <c r="E392" s="36"/>
      <c r="F392" s="36"/>
      <c r="G392" s="36"/>
      <c r="H392" s="36"/>
      <c r="I392" s="36"/>
      <c r="J392" s="36"/>
      <c r="K392" s="37">
        <v>2</v>
      </c>
      <c r="L392" s="37">
        <f>ROUND(0.33,3)</f>
        <v>0.33</v>
      </c>
      <c r="M392" s="38">
        <f t="shared" si="15"/>
        <v>0.66</v>
      </c>
    </row>
    <row r="393" spans="1:13">
      <c r="A393" s="35" t="s">
        <v>701</v>
      </c>
      <c r="B393" s="35" t="s">
        <v>451</v>
      </c>
      <c r="C393" s="35" t="s">
        <v>422</v>
      </c>
      <c r="D393" s="36" t="s">
        <v>702</v>
      </c>
      <c r="E393" s="36"/>
      <c r="F393" s="36"/>
      <c r="G393" s="36"/>
      <c r="H393" s="36"/>
      <c r="I393" s="36"/>
      <c r="J393" s="36"/>
      <c r="K393" s="37">
        <v>1</v>
      </c>
      <c r="L393" s="37">
        <f>ROUND(1.64,3)</f>
        <v>1.64</v>
      </c>
      <c r="M393" s="38">
        <f t="shared" si="15"/>
        <v>1.64</v>
      </c>
    </row>
    <row r="394" spans="1:13">
      <c r="A394" s="35" t="s">
        <v>703</v>
      </c>
      <c r="B394" s="35" t="s">
        <v>455</v>
      </c>
      <c r="C394" s="35" t="s">
        <v>456</v>
      </c>
      <c r="D394" s="36" t="s">
        <v>704</v>
      </c>
      <c r="E394" s="36"/>
      <c r="F394" s="36"/>
      <c r="G394" s="36"/>
      <c r="H394" s="36"/>
      <c r="I394" s="36"/>
      <c r="J394" s="36"/>
      <c r="K394" s="37">
        <v>0.223</v>
      </c>
      <c r="L394" s="37">
        <f>ROUND(21.68,3)</f>
        <v>21.68</v>
      </c>
      <c r="M394" s="38">
        <f t="shared" si="15"/>
        <v>4.83</v>
      </c>
    </row>
    <row r="395" spans="1:13">
      <c r="A395" s="35" t="s">
        <v>705</v>
      </c>
      <c r="B395" s="35" t="s">
        <v>455</v>
      </c>
      <c r="C395" s="35" t="s">
        <v>456</v>
      </c>
      <c r="D395" s="36" t="s">
        <v>706</v>
      </c>
      <c r="E395" s="36"/>
      <c r="F395" s="36"/>
      <c r="G395" s="36"/>
      <c r="H395" s="36"/>
      <c r="I395" s="36"/>
      <c r="J395" s="36"/>
      <c r="K395" s="37">
        <v>0.223</v>
      </c>
      <c r="L395" s="37">
        <f>ROUND(18.5,3)</f>
        <v>18.5</v>
      </c>
      <c r="M395" s="38">
        <f t="shared" si="15"/>
        <v>4.13</v>
      </c>
    </row>
    <row r="396" spans="1:13">
      <c r="A396" s="35" t="s">
        <v>460</v>
      </c>
      <c r="B396" s="35"/>
      <c r="C396" s="35" t="s">
        <v>460</v>
      </c>
      <c r="D396" s="36" t="s">
        <v>461</v>
      </c>
      <c r="E396" s="36"/>
      <c r="F396" s="36"/>
      <c r="G396" s="36"/>
      <c r="H396" s="36"/>
      <c r="I396" s="36"/>
      <c r="J396" s="36"/>
      <c r="K396" s="37">
        <v>2</v>
      </c>
      <c r="L396" s="37">
        <f>ROUND(22.35,3)</f>
        <v>22.35</v>
      </c>
      <c r="M396" s="38">
        <f>ROUND((K396*L396)/100,2)</f>
        <v>0.45</v>
      </c>
    </row>
    <row r="397" spans="1:13">
      <c r="A397" s="52"/>
      <c r="B397" s="52"/>
      <c r="C397" s="52"/>
      <c r="D397" s="53" t="s">
        <v>688</v>
      </c>
      <c r="E397" s="52"/>
      <c r="F397" s="52"/>
      <c r="G397" s="52"/>
      <c r="H397" s="52"/>
      <c r="I397" s="52"/>
      <c r="J397" s="52"/>
      <c r="K397" s="54">
        <v>280</v>
      </c>
      <c r="L397" s="55">
        <f>ROUND((M388+M389+M390+M391+M392+M393+M394+M395+M396)*(1+M2/100),2)</f>
        <v>23.48</v>
      </c>
      <c r="M397" s="55">
        <f>ROUND(K397*L397,2)</f>
        <v>6574.4</v>
      </c>
    </row>
    <row r="398" spans="1:13">
      <c r="A398" s="79"/>
      <c r="B398" s="79"/>
      <c r="C398" s="79"/>
      <c r="D398" s="80" t="s">
        <v>663</v>
      </c>
      <c r="E398" s="81"/>
      <c r="F398" s="81"/>
      <c r="G398" s="81"/>
      <c r="H398" s="81"/>
      <c r="I398" s="81"/>
      <c r="J398" s="81"/>
      <c r="K398" s="81"/>
      <c r="L398" s="82">
        <f>M359+M366+M373+M382+M386</f>
        <v>9129.57</v>
      </c>
      <c r="M398" s="82">
        <f>ROUND(L398,2)</f>
        <v>9129.57</v>
      </c>
    </row>
    <row r="399" spans="1:13">
      <c r="A399" s="79"/>
      <c r="B399" s="79"/>
      <c r="C399" s="79"/>
      <c r="D399" s="83" t="s">
        <v>99</v>
      </c>
      <c r="E399" s="84"/>
      <c r="F399" s="84"/>
      <c r="G399" s="84"/>
      <c r="H399" s="84"/>
      <c r="I399" s="84"/>
      <c r="J399" s="84"/>
      <c r="K399" s="84"/>
      <c r="L399" s="85">
        <f>M260+M357+M398</f>
        <v>106237.54000000001</v>
      </c>
      <c r="M399" s="85">
        <f>ROUND(L399,2)</f>
        <v>106237.54</v>
      </c>
    </row>
    <row r="400" spans="1:13">
      <c r="A400" s="64" t="s">
        <v>71</v>
      </c>
      <c r="B400" s="64" t="s">
        <v>428</v>
      </c>
      <c r="C400" s="65"/>
      <c r="D400" s="66" t="s">
        <v>707</v>
      </c>
      <c r="E400" s="66"/>
      <c r="F400" s="66"/>
      <c r="G400" s="66"/>
      <c r="H400" s="66"/>
      <c r="I400" s="66"/>
      <c r="J400" s="66"/>
      <c r="K400" s="65"/>
      <c r="L400" s="67">
        <f>L546</f>
        <v>52633.429999999993</v>
      </c>
      <c r="M400" s="67">
        <f>ROUND(L400,2)</f>
        <v>52633.43</v>
      </c>
    </row>
    <row r="401" spans="1:13">
      <c r="A401" s="68" t="s">
        <v>708</v>
      </c>
      <c r="B401" s="68" t="s">
        <v>428</v>
      </c>
      <c r="C401" s="69"/>
      <c r="D401" s="70" t="s">
        <v>709</v>
      </c>
      <c r="E401" s="70"/>
      <c r="F401" s="70"/>
      <c r="G401" s="70"/>
      <c r="H401" s="70"/>
      <c r="I401" s="70"/>
      <c r="J401" s="70"/>
      <c r="K401" s="69"/>
      <c r="L401" s="71">
        <v>0</v>
      </c>
      <c r="M401" s="71">
        <v>0</v>
      </c>
    </row>
    <row r="402" spans="1:13">
      <c r="A402" s="52"/>
      <c r="B402" s="52"/>
      <c r="C402" s="52"/>
      <c r="D402" s="72" t="s">
        <v>708</v>
      </c>
      <c r="E402" s="73"/>
      <c r="F402" s="73"/>
      <c r="G402" s="73"/>
      <c r="H402" s="73"/>
      <c r="I402" s="73"/>
      <c r="J402" s="73"/>
      <c r="K402" s="73"/>
      <c r="L402" s="74">
        <v>0</v>
      </c>
      <c r="M402" s="74">
        <v>0</v>
      </c>
    </row>
    <row r="403" spans="1:13">
      <c r="A403" s="56" t="s">
        <v>837</v>
      </c>
      <c r="B403" s="57" t="s">
        <v>431</v>
      </c>
      <c r="C403" s="57" t="s">
        <v>3</v>
      </c>
      <c r="D403" s="58" t="s">
        <v>838</v>
      </c>
      <c r="E403" s="58"/>
      <c r="F403" s="58"/>
      <c r="G403" s="58"/>
      <c r="H403" s="58"/>
      <c r="I403" s="58"/>
      <c r="J403" s="58"/>
      <c r="K403" s="59">
        <f>ROUND(1,2)</f>
        <v>1</v>
      </c>
      <c r="L403" s="60">
        <f>L406</f>
        <v>3034.36</v>
      </c>
      <c r="M403" s="60">
        <f>ROUND(K403*L403,2)</f>
        <v>3034.36</v>
      </c>
    </row>
    <row r="404" spans="1:13">
      <c r="A404" s="39"/>
      <c r="B404" s="39"/>
      <c r="C404" s="39"/>
      <c r="D404" s="36" t="s">
        <v>839</v>
      </c>
      <c r="E404" s="36"/>
      <c r="F404" s="36"/>
      <c r="G404" s="36"/>
      <c r="H404" s="36"/>
      <c r="I404" s="36"/>
      <c r="J404" s="36"/>
      <c r="K404" s="36"/>
      <c r="L404" s="36"/>
      <c r="M404" s="36"/>
    </row>
    <row r="405" spans="1:13">
      <c r="A405" s="35" t="s">
        <v>840</v>
      </c>
      <c r="B405" s="35" t="s">
        <v>451</v>
      </c>
      <c r="C405" s="35" t="s">
        <v>3</v>
      </c>
      <c r="D405" s="36" t="s">
        <v>838</v>
      </c>
      <c r="E405" s="36"/>
      <c r="F405" s="36"/>
      <c r="G405" s="36"/>
      <c r="H405" s="36"/>
      <c r="I405" s="36"/>
      <c r="J405" s="36"/>
      <c r="K405" s="37">
        <v>1</v>
      </c>
      <c r="L405" s="37">
        <f>ROUND(2945.98,3)</f>
        <v>2945.98</v>
      </c>
      <c r="M405" s="38">
        <f>ROUND(K405*L405,2)</f>
        <v>2945.98</v>
      </c>
    </row>
    <row r="406" spans="1:13">
      <c r="A406" s="52"/>
      <c r="B406" s="52"/>
      <c r="C406" s="52"/>
      <c r="D406" s="53" t="s">
        <v>837</v>
      </c>
      <c r="E406" s="52"/>
      <c r="F406" s="52"/>
      <c r="G406" s="52"/>
      <c r="H406" s="52"/>
      <c r="I406" s="52"/>
      <c r="J406" s="52"/>
      <c r="K406" s="54">
        <v>1</v>
      </c>
      <c r="L406" s="55">
        <f>ROUND((M405)*(1+M2/100),2)</f>
        <v>3034.36</v>
      </c>
      <c r="M406" s="55">
        <f>ROUND(K406*L406,2)</f>
        <v>3034.36</v>
      </c>
    </row>
    <row r="407" spans="1:13">
      <c r="A407" s="56" t="s">
        <v>841</v>
      </c>
      <c r="B407" s="57" t="s">
        <v>431</v>
      </c>
      <c r="C407" s="57" t="s">
        <v>3</v>
      </c>
      <c r="D407" s="58" t="s">
        <v>842</v>
      </c>
      <c r="E407" s="58"/>
      <c r="F407" s="58"/>
      <c r="G407" s="58"/>
      <c r="H407" s="58"/>
      <c r="I407" s="58"/>
      <c r="J407" s="58"/>
      <c r="K407" s="59">
        <f>ROUND(1,2)</f>
        <v>1</v>
      </c>
      <c r="L407" s="60">
        <f>L410</f>
        <v>3000.39</v>
      </c>
      <c r="M407" s="60">
        <f>ROUND(K407*L407,2)</f>
        <v>3000.39</v>
      </c>
    </row>
    <row r="408" spans="1:13">
      <c r="A408" s="39"/>
      <c r="B408" s="39"/>
      <c r="C408" s="39"/>
      <c r="D408" s="36" t="s">
        <v>843</v>
      </c>
      <c r="E408" s="36"/>
      <c r="F408" s="36"/>
      <c r="G408" s="36"/>
      <c r="H408" s="36"/>
      <c r="I408" s="36"/>
      <c r="J408" s="36"/>
      <c r="K408" s="36"/>
      <c r="L408" s="36"/>
      <c r="M408" s="36"/>
    </row>
    <row r="409" spans="1:13">
      <c r="A409" s="35" t="s">
        <v>844</v>
      </c>
      <c r="B409" s="35" t="s">
        <v>451</v>
      </c>
      <c r="C409" s="35" t="s">
        <v>3</v>
      </c>
      <c r="D409" s="36" t="s">
        <v>845</v>
      </c>
      <c r="E409" s="36"/>
      <c r="F409" s="36"/>
      <c r="G409" s="36"/>
      <c r="H409" s="36"/>
      <c r="I409" s="36"/>
      <c r="J409" s="36"/>
      <c r="K409" s="37">
        <v>1</v>
      </c>
      <c r="L409" s="37">
        <f>ROUND(2913,3)</f>
        <v>2913</v>
      </c>
      <c r="M409" s="38">
        <f>ROUND(K409*L409,2)</f>
        <v>2913</v>
      </c>
    </row>
    <row r="410" spans="1:13">
      <c r="A410" s="52"/>
      <c r="B410" s="52"/>
      <c r="C410" s="52"/>
      <c r="D410" s="53" t="s">
        <v>841</v>
      </c>
      <c r="E410" s="52"/>
      <c r="F410" s="52"/>
      <c r="G410" s="52"/>
      <c r="H410" s="52"/>
      <c r="I410" s="52"/>
      <c r="J410" s="52"/>
      <c r="K410" s="54">
        <v>1</v>
      </c>
      <c r="L410" s="55">
        <f>ROUND((M409)*(1+M2/100),2)</f>
        <v>3000.39</v>
      </c>
      <c r="M410" s="55">
        <f>ROUND(K410*L410,2)</f>
        <v>3000.39</v>
      </c>
    </row>
    <row r="411" spans="1:13">
      <c r="A411" s="56" t="s">
        <v>846</v>
      </c>
      <c r="B411" s="57" t="s">
        <v>431</v>
      </c>
      <c r="C411" s="57" t="s">
        <v>3</v>
      </c>
      <c r="D411" s="58" t="s">
        <v>847</v>
      </c>
      <c r="E411" s="58"/>
      <c r="F411" s="58"/>
      <c r="G411" s="58"/>
      <c r="H411" s="58"/>
      <c r="I411" s="58"/>
      <c r="J411" s="58"/>
      <c r="K411" s="59">
        <f>ROUND(1,2)</f>
        <v>1</v>
      </c>
      <c r="L411" s="60">
        <f>L414</f>
        <v>8133.59</v>
      </c>
      <c r="M411" s="60">
        <f>ROUND(K411*L411,2)</f>
        <v>8133.59</v>
      </c>
    </row>
    <row r="412" spans="1:13" ht="67.5">
      <c r="A412" s="39"/>
      <c r="B412" s="39"/>
      <c r="C412" s="39"/>
      <c r="D412" s="36" t="s">
        <v>848</v>
      </c>
      <c r="E412" s="36"/>
      <c r="F412" s="36"/>
      <c r="G412" s="36"/>
      <c r="H412" s="36"/>
      <c r="I412" s="36"/>
      <c r="J412" s="36"/>
      <c r="K412" s="36"/>
      <c r="L412" s="36"/>
      <c r="M412" s="36"/>
    </row>
    <row r="413" spans="1:13">
      <c r="A413" s="35" t="s">
        <v>849</v>
      </c>
      <c r="B413" s="35" t="s">
        <v>451</v>
      </c>
      <c r="C413" s="35" t="s">
        <v>3</v>
      </c>
      <c r="D413" s="36" t="s">
        <v>850</v>
      </c>
      <c r="E413" s="36"/>
      <c r="F413" s="36"/>
      <c r="G413" s="36"/>
      <c r="H413" s="36"/>
      <c r="I413" s="36"/>
      <c r="J413" s="36"/>
      <c r="K413" s="37">
        <v>1</v>
      </c>
      <c r="L413" s="37">
        <f>ROUND(7896.69,3)</f>
        <v>7896.69</v>
      </c>
      <c r="M413" s="38">
        <f>ROUND(K413*L413,2)</f>
        <v>7896.69</v>
      </c>
    </row>
    <row r="414" spans="1:13">
      <c r="A414" s="52"/>
      <c r="B414" s="52"/>
      <c r="C414" s="52"/>
      <c r="D414" s="53" t="s">
        <v>846</v>
      </c>
      <c r="E414" s="52"/>
      <c r="F414" s="52"/>
      <c r="G414" s="52"/>
      <c r="H414" s="52"/>
      <c r="I414" s="52"/>
      <c r="J414" s="52"/>
      <c r="K414" s="54">
        <v>1</v>
      </c>
      <c r="L414" s="55">
        <f>ROUND((M413)*(1+M2/100),2)</f>
        <v>8133.59</v>
      </c>
      <c r="M414" s="55">
        <f>ROUND(K414*L414,2)</f>
        <v>8133.59</v>
      </c>
    </row>
    <row r="415" spans="1:13">
      <c r="A415" s="56" t="s">
        <v>851</v>
      </c>
      <c r="B415" s="57" t="s">
        <v>431</v>
      </c>
      <c r="C415" s="57" t="s">
        <v>3</v>
      </c>
      <c r="D415" s="58" t="s">
        <v>852</v>
      </c>
      <c r="E415" s="58"/>
      <c r="F415" s="58"/>
      <c r="G415" s="58"/>
      <c r="H415" s="58"/>
      <c r="I415" s="58"/>
      <c r="J415" s="58"/>
      <c r="K415" s="59">
        <f>ROUND(1,2)</f>
        <v>1</v>
      </c>
      <c r="L415" s="60">
        <f>L418</f>
        <v>10038.27</v>
      </c>
      <c r="M415" s="60">
        <f>ROUND(K415*L415,2)</f>
        <v>10038.27</v>
      </c>
    </row>
    <row r="416" spans="1:13" ht="45">
      <c r="A416" s="39"/>
      <c r="B416" s="39"/>
      <c r="C416" s="39"/>
      <c r="D416" s="36" t="s">
        <v>853</v>
      </c>
      <c r="E416" s="36"/>
      <c r="F416" s="36"/>
      <c r="G416" s="36"/>
      <c r="H416" s="36"/>
      <c r="I416" s="36"/>
      <c r="J416" s="36"/>
      <c r="K416" s="36"/>
      <c r="L416" s="36"/>
      <c r="M416" s="36"/>
    </row>
    <row r="417" spans="1:13">
      <c r="A417" s="35" t="s">
        <v>854</v>
      </c>
      <c r="B417" s="35" t="s">
        <v>451</v>
      </c>
      <c r="C417" s="35" t="s">
        <v>3</v>
      </c>
      <c r="D417" s="36" t="s">
        <v>855</v>
      </c>
      <c r="E417" s="36"/>
      <c r="F417" s="36"/>
      <c r="G417" s="36"/>
      <c r="H417" s="36"/>
      <c r="I417" s="36"/>
      <c r="J417" s="36"/>
      <c r="K417" s="37">
        <v>1</v>
      </c>
      <c r="L417" s="37">
        <f>ROUND(9745.89,3)</f>
        <v>9745.89</v>
      </c>
      <c r="M417" s="38">
        <f>ROUND(K417*L417,2)</f>
        <v>9745.89</v>
      </c>
    </row>
    <row r="418" spans="1:13">
      <c r="A418" s="52"/>
      <c r="B418" s="52"/>
      <c r="C418" s="52"/>
      <c r="D418" s="53" t="s">
        <v>851</v>
      </c>
      <c r="E418" s="52"/>
      <c r="F418" s="52"/>
      <c r="G418" s="52"/>
      <c r="H418" s="52"/>
      <c r="I418" s="52"/>
      <c r="J418" s="52"/>
      <c r="K418" s="54">
        <v>1</v>
      </c>
      <c r="L418" s="55">
        <f>ROUND((M417)*(1+M2/100),2)</f>
        <v>10038.27</v>
      </c>
      <c r="M418" s="55">
        <f>ROUND(K418*L418,2)</f>
        <v>10038.27</v>
      </c>
    </row>
    <row r="419" spans="1:13">
      <c r="A419" s="56" t="s">
        <v>856</v>
      </c>
      <c r="B419" s="57" t="s">
        <v>431</v>
      </c>
      <c r="C419" s="57" t="s">
        <v>3</v>
      </c>
      <c r="D419" s="58" t="s">
        <v>857</v>
      </c>
      <c r="E419" s="58"/>
      <c r="F419" s="58"/>
      <c r="G419" s="58"/>
      <c r="H419" s="58"/>
      <c r="I419" s="58"/>
      <c r="J419" s="58"/>
      <c r="K419" s="59">
        <f>SUM(K422:K422)</f>
        <v>1</v>
      </c>
      <c r="L419" s="60">
        <f>L427</f>
        <v>486.2</v>
      </c>
      <c r="M419" s="60">
        <f>ROUND(K419*L419,2)</f>
        <v>486.2</v>
      </c>
    </row>
    <row r="420" spans="1:13">
      <c r="A420" s="39"/>
      <c r="B420" s="39"/>
      <c r="C420" s="39"/>
      <c r="D420" s="36" t="s">
        <v>857</v>
      </c>
      <c r="E420" s="36"/>
      <c r="F420" s="36"/>
      <c r="G420" s="36"/>
      <c r="H420" s="36"/>
      <c r="I420" s="36"/>
      <c r="J420" s="36"/>
      <c r="K420" s="36"/>
      <c r="L420" s="36"/>
      <c r="M420" s="36"/>
    </row>
    <row r="421" spans="1:13">
      <c r="A421" s="39"/>
      <c r="B421" s="39"/>
      <c r="C421" s="39"/>
      <c r="D421" s="39"/>
      <c r="E421" s="40"/>
      <c r="F421" s="41" t="s">
        <v>434</v>
      </c>
      <c r="G421" s="41" t="s">
        <v>435</v>
      </c>
      <c r="H421" s="41" t="s">
        <v>436</v>
      </c>
      <c r="I421" s="41" t="s">
        <v>437</v>
      </c>
      <c r="J421" s="41" t="s">
        <v>438</v>
      </c>
      <c r="K421" s="41" t="s">
        <v>439</v>
      </c>
      <c r="L421" s="39"/>
      <c r="M421" s="39"/>
    </row>
    <row r="422" spans="1:13">
      <c r="A422" s="39"/>
      <c r="B422" s="39"/>
      <c r="C422" s="39"/>
      <c r="D422" s="42"/>
      <c r="E422" s="43"/>
      <c r="F422" s="44">
        <v>1</v>
      </c>
      <c r="G422" s="45"/>
      <c r="H422" s="45"/>
      <c r="I422" s="45"/>
      <c r="J422" s="46">
        <f>ROUND(F422,3)</f>
        <v>1</v>
      </c>
      <c r="K422" s="47">
        <f>SUM(J422:J422)</f>
        <v>1</v>
      </c>
      <c r="L422" s="39"/>
      <c r="M422" s="39"/>
    </row>
    <row r="423" spans="1:13">
      <c r="A423" s="35" t="s">
        <v>858</v>
      </c>
      <c r="B423" s="35" t="s">
        <v>859</v>
      </c>
      <c r="C423" s="35" t="s">
        <v>3</v>
      </c>
      <c r="D423" s="36" t="s">
        <v>860</v>
      </c>
      <c r="E423" s="36"/>
      <c r="F423" s="36"/>
      <c r="G423" s="36"/>
      <c r="H423" s="36"/>
      <c r="I423" s="36"/>
      <c r="J423" s="36"/>
      <c r="K423" s="37">
        <v>1</v>
      </c>
      <c r="L423" s="37">
        <f>L425</f>
        <v>316.16000000000003</v>
      </c>
      <c r="M423" s="38">
        <f t="shared" ref="M423:M428" si="16">ROUND(K423*L423,2)</f>
        <v>316.16000000000003</v>
      </c>
    </row>
    <row r="424" spans="1:13">
      <c r="A424" s="35" t="s">
        <v>861</v>
      </c>
      <c r="B424" s="35" t="s">
        <v>451</v>
      </c>
      <c r="C424" s="35" t="s">
        <v>3</v>
      </c>
      <c r="D424" s="36" t="s">
        <v>860</v>
      </c>
      <c r="E424" s="36"/>
      <c r="F424" s="36"/>
      <c r="G424" s="36"/>
      <c r="H424" s="36"/>
      <c r="I424" s="36"/>
      <c r="J424" s="36"/>
      <c r="K424" s="37">
        <v>1</v>
      </c>
      <c r="L424" s="37">
        <f>ROUND(316.16,3)</f>
        <v>316.16000000000003</v>
      </c>
      <c r="M424" s="38">
        <f t="shared" si="16"/>
        <v>316.16000000000003</v>
      </c>
    </row>
    <row r="425" spans="1:13">
      <c r="A425" s="39"/>
      <c r="B425" s="39"/>
      <c r="C425" s="39"/>
      <c r="D425" s="35" t="s">
        <v>858</v>
      </c>
      <c r="E425" s="39"/>
      <c r="F425" s="39"/>
      <c r="G425" s="39"/>
      <c r="H425" s="39"/>
      <c r="I425" s="39"/>
      <c r="J425" s="39"/>
      <c r="K425" s="37">
        <v>1</v>
      </c>
      <c r="L425" s="37">
        <f>ROUND((M424),3)</f>
        <v>316.16000000000003</v>
      </c>
      <c r="M425" s="38">
        <f t="shared" si="16"/>
        <v>316.16000000000003</v>
      </c>
    </row>
    <row r="426" spans="1:13">
      <c r="A426" s="35" t="s">
        <v>495</v>
      </c>
      <c r="B426" s="35" t="s">
        <v>455</v>
      </c>
      <c r="C426" s="35" t="s">
        <v>456</v>
      </c>
      <c r="D426" s="36" t="s">
        <v>496</v>
      </c>
      <c r="E426" s="36"/>
      <c r="F426" s="36"/>
      <c r="G426" s="36"/>
      <c r="H426" s="36"/>
      <c r="I426" s="36"/>
      <c r="J426" s="36"/>
      <c r="K426" s="37">
        <v>9</v>
      </c>
      <c r="L426" s="37">
        <f>ROUND(17.32,3)</f>
        <v>17.32</v>
      </c>
      <c r="M426" s="38">
        <f t="shared" si="16"/>
        <v>155.88</v>
      </c>
    </row>
    <row r="427" spans="1:13">
      <c r="A427" s="52"/>
      <c r="B427" s="52"/>
      <c r="C427" s="52"/>
      <c r="D427" s="53" t="s">
        <v>856</v>
      </c>
      <c r="E427" s="52"/>
      <c r="F427" s="52"/>
      <c r="G427" s="52"/>
      <c r="H427" s="52"/>
      <c r="I427" s="52"/>
      <c r="J427" s="52"/>
      <c r="K427" s="54">
        <v>1</v>
      </c>
      <c r="L427" s="55">
        <f>ROUND((M423+M426)*(1+M2/100),2)</f>
        <v>486.2</v>
      </c>
      <c r="M427" s="55">
        <f t="shared" si="16"/>
        <v>486.2</v>
      </c>
    </row>
    <row r="428" spans="1:13">
      <c r="A428" s="56" t="s">
        <v>862</v>
      </c>
      <c r="B428" s="57" t="s">
        <v>431</v>
      </c>
      <c r="C428" s="57" t="s">
        <v>3</v>
      </c>
      <c r="D428" s="58" t="s">
        <v>863</v>
      </c>
      <c r="E428" s="58"/>
      <c r="F428" s="58"/>
      <c r="G428" s="58"/>
      <c r="H428" s="58"/>
      <c r="I428" s="58"/>
      <c r="J428" s="58"/>
      <c r="K428" s="59">
        <f>ROUND(1,2)</f>
        <v>1</v>
      </c>
      <c r="L428" s="60">
        <f>L431</f>
        <v>202.98</v>
      </c>
      <c r="M428" s="60">
        <f t="shared" si="16"/>
        <v>202.98</v>
      </c>
    </row>
    <row r="429" spans="1:13">
      <c r="A429" s="39"/>
      <c r="B429" s="39"/>
      <c r="C429" s="39"/>
      <c r="D429" s="36" t="s">
        <v>864</v>
      </c>
      <c r="E429" s="36"/>
      <c r="F429" s="36"/>
      <c r="G429" s="36"/>
      <c r="H429" s="36"/>
      <c r="I429" s="36"/>
      <c r="J429" s="36"/>
      <c r="K429" s="36"/>
      <c r="L429" s="36"/>
      <c r="M429" s="36"/>
    </row>
    <row r="430" spans="1:13">
      <c r="A430" s="35" t="s">
        <v>865</v>
      </c>
      <c r="B430" s="35" t="s">
        <v>451</v>
      </c>
      <c r="C430" s="35" t="s">
        <v>3</v>
      </c>
      <c r="D430" s="36" t="s">
        <v>863</v>
      </c>
      <c r="E430" s="36"/>
      <c r="F430" s="36"/>
      <c r="G430" s="36"/>
      <c r="H430" s="36"/>
      <c r="I430" s="36"/>
      <c r="J430" s="36"/>
      <c r="K430" s="37">
        <v>1</v>
      </c>
      <c r="L430" s="37">
        <f>ROUND(197.07,3)</f>
        <v>197.07</v>
      </c>
      <c r="M430" s="38">
        <f>ROUND(K430*L430,2)</f>
        <v>197.07</v>
      </c>
    </row>
    <row r="431" spans="1:13">
      <c r="A431" s="52"/>
      <c r="B431" s="52"/>
      <c r="C431" s="52"/>
      <c r="D431" s="53" t="s">
        <v>862</v>
      </c>
      <c r="E431" s="52"/>
      <c r="F431" s="52"/>
      <c r="G431" s="52"/>
      <c r="H431" s="52"/>
      <c r="I431" s="52"/>
      <c r="J431" s="52"/>
      <c r="K431" s="54">
        <v>1</v>
      </c>
      <c r="L431" s="55">
        <f>ROUND((M430)*(1+M2/100),2)</f>
        <v>202.98</v>
      </c>
      <c r="M431" s="55">
        <f>ROUND(K431*L431,2)</f>
        <v>202.98</v>
      </c>
    </row>
    <row r="432" spans="1:13">
      <c r="A432" s="56" t="s">
        <v>866</v>
      </c>
      <c r="B432" s="57" t="s">
        <v>431</v>
      </c>
      <c r="C432" s="57" t="s">
        <v>3</v>
      </c>
      <c r="D432" s="58" t="s">
        <v>867</v>
      </c>
      <c r="E432" s="58"/>
      <c r="F432" s="58"/>
      <c r="G432" s="58"/>
      <c r="H432" s="58"/>
      <c r="I432" s="58"/>
      <c r="J432" s="58"/>
      <c r="K432" s="59">
        <f>ROUND(1,2)</f>
        <v>1</v>
      </c>
      <c r="L432" s="60">
        <f>L435</f>
        <v>596.03</v>
      </c>
      <c r="M432" s="60">
        <f>ROUND(K432*L432,2)</f>
        <v>596.03</v>
      </c>
    </row>
    <row r="433" spans="1:13" ht="22.5">
      <c r="A433" s="39"/>
      <c r="B433" s="39"/>
      <c r="C433" s="39"/>
      <c r="D433" s="36" t="s">
        <v>868</v>
      </c>
      <c r="E433" s="36"/>
      <c r="F433" s="36"/>
      <c r="G433" s="36"/>
      <c r="H433" s="36"/>
      <c r="I433" s="36"/>
      <c r="J433" s="36"/>
      <c r="K433" s="36"/>
      <c r="L433" s="36"/>
      <c r="M433" s="36"/>
    </row>
    <row r="434" spans="1:13">
      <c r="A434" s="35" t="s">
        <v>869</v>
      </c>
      <c r="B434" s="35" t="s">
        <v>451</v>
      </c>
      <c r="C434" s="35" t="s">
        <v>3</v>
      </c>
      <c r="D434" s="36" t="s">
        <v>867</v>
      </c>
      <c r="E434" s="36"/>
      <c r="F434" s="36"/>
      <c r="G434" s="36"/>
      <c r="H434" s="36"/>
      <c r="I434" s="36"/>
      <c r="J434" s="36"/>
      <c r="K434" s="37">
        <v>1</v>
      </c>
      <c r="L434" s="37">
        <f>ROUND(578.67,3)</f>
        <v>578.66999999999996</v>
      </c>
      <c r="M434" s="38">
        <f>ROUND(K434*L434,2)</f>
        <v>578.66999999999996</v>
      </c>
    </row>
    <row r="435" spans="1:13">
      <c r="A435" s="52"/>
      <c r="B435" s="52"/>
      <c r="C435" s="52"/>
      <c r="D435" s="53" t="s">
        <v>866</v>
      </c>
      <c r="E435" s="52"/>
      <c r="F435" s="52"/>
      <c r="G435" s="52"/>
      <c r="H435" s="52"/>
      <c r="I435" s="52"/>
      <c r="J435" s="52"/>
      <c r="K435" s="54">
        <v>1</v>
      </c>
      <c r="L435" s="55">
        <f>ROUND((M434)*(1+M2/100),2)</f>
        <v>596.03</v>
      </c>
      <c r="M435" s="55">
        <f>ROUND(K435*L435,2)</f>
        <v>596.03</v>
      </c>
    </row>
    <row r="436" spans="1:13">
      <c r="A436" s="56" t="s">
        <v>870</v>
      </c>
      <c r="B436" s="57" t="s">
        <v>431</v>
      </c>
      <c r="C436" s="57" t="s">
        <v>3</v>
      </c>
      <c r="D436" s="58" t="s">
        <v>871</v>
      </c>
      <c r="E436" s="58"/>
      <c r="F436" s="58"/>
      <c r="G436" s="58"/>
      <c r="H436" s="58"/>
      <c r="I436" s="58"/>
      <c r="J436" s="58"/>
      <c r="K436" s="59">
        <f>ROUND(1,2)</f>
        <v>1</v>
      </c>
      <c r="L436" s="60">
        <f>L440</f>
        <v>213.96</v>
      </c>
      <c r="M436" s="60">
        <f>ROUND(K436*L436,2)</f>
        <v>213.96</v>
      </c>
    </row>
    <row r="437" spans="1:13">
      <c r="A437" s="39"/>
      <c r="B437" s="39"/>
      <c r="C437" s="39"/>
      <c r="D437" s="36" t="s">
        <v>872</v>
      </c>
      <c r="E437" s="36"/>
      <c r="F437" s="36"/>
      <c r="G437" s="36"/>
      <c r="H437" s="36"/>
      <c r="I437" s="36"/>
      <c r="J437" s="36"/>
      <c r="K437" s="36"/>
      <c r="L437" s="36"/>
      <c r="M437" s="36"/>
    </row>
    <row r="438" spans="1:13">
      <c r="A438" s="35" t="s">
        <v>873</v>
      </c>
      <c r="B438" s="35" t="s">
        <v>451</v>
      </c>
      <c r="C438" s="35" t="s">
        <v>724</v>
      </c>
      <c r="D438" s="36" t="s">
        <v>871</v>
      </c>
      <c r="E438" s="36"/>
      <c r="F438" s="36"/>
      <c r="G438" s="36"/>
      <c r="H438" s="36"/>
      <c r="I438" s="36"/>
      <c r="J438" s="36"/>
      <c r="K438" s="37">
        <v>1</v>
      </c>
      <c r="L438" s="37">
        <f>ROUND(201.67,3)</f>
        <v>201.67</v>
      </c>
      <c r="M438" s="38">
        <f>ROUND(K438*L438,2)</f>
        <v>201.67</v>
      </c>
    </row>
    <row r="439" spans="1:13">
      <c r="A439" s="35" t="s">
        <v>495</v>
      </c>
      <c r="B439" s="35" t="s">
        <v>455</v>
      </c>
      <c r="C439" s="35" t="s">
        <v>456</v>
      </c>
      <c r="D439" s="36" t="s">
        <v>496</v>
      </c>
      <c r="E439" s="36"/>
      <c r="F439" s="36"/>
      <c r="G439" s="36"/>
      <c r="H439" s="36"/>
      <c r="I439" s="36"/>
      <c r="J439" s="36"/>
      <c r="K439" s="37">
        <v>0.35</v>
      </c>
      <c r="L439" s="37">
        <f>ROUND(17.32,3)</f>
        <v>17.32</v>
      </c>
      <c r="M439" s="38">
        <f>ROUND(K439*L439,2)</f>
        <v>6.06</v>
      </c>
    </row>
    <row r="440" spans="1:13">
      <c r="A440" s="52"/>
      <c r="B440" s="52"/>
      <c r="C440" s="52"/>
      <c r="D440" s="53" t="s">
        <v>870</v>
      </c>
      <c r="E440" s="52"/>
      <c r="F440" s="52"/>
      <c r="G440" s="52"/>
      <c r="H440" s="52"/>
      <c r="I440" s="52"/>
      <c r="J440" s="52"/>
      <c r="K440" s="54">
        <v>1</v>
      </c>
      <c r="L440" s="55">
        <f>ROUND((M438+M439)*(1+M2/100),2)</f>
        <v>213.96</v>
      </c>
      <c r="M440" s="55">
        <f>ROUND(K440*L440,2)</f>
        <v>213.96</v>
      </c>
    </row>
    <row r="441" spans="1:13">
      <c r="A441" s="56" t="s">
        <v>874</v>
      </c>
      <c r="B441" s="57" t="s">
        <v>431</v>
      </c>
      <c r="C441" s="57" t="s">
        <v>3</v>
      </c>
      <c r="D441" s="58" t="s">
        <v>875</v>
      </c>
      <c r="E441" s="58"/>
      <c r="F441" s="58"/>
      <c r="G441" s="58"/>
      <c r="H441" s="58"/>
      <c r="I441" s="58"/>
      <c r="J441" s="58"/>
      <c r="K441" s="59">
        <f>ROUND(1,2)</f>
        <v>1</v>
      </c>
      <c r="L441" s="60">
        <f>L445</f>
        <v>328.61</v>
      </c>
      <c r="M441" s="60">
        <f>ROUND(K441*L441,2)</f>
        <v>328.61</v>
      </c>
    </row>
    <row r="442" spans="1:13" ht="22.5">
      <c r="A442" s="39"/>
      <c r="B442" s="39"/>
      <c r="C442" s="39"/>
      <c r="D442" s="36" t="s">
        <v>876</v>
      </c>
      <c r="E442" s="36"/>
      <c r="F442" s="36"/>
      <c r="G442" s="36"/>
      <c r="H442" s="36"/>
      <c r="I442" s="36"/>
      <c r="J442" s="36"/>
      <c r="K442" s="36"/>
      <c r="L442" s="36"/>
      <c r="M442" s="36"/>
    </row>
    <row r="443" spans="1:13">
      <c r="A443" s="35" t="s">
        <v>877</v>
      </c>
      <c r="B443" s="35" t="s">
        <v>451</v>
      </c>
      <c r="C443" s="35" t="s">
        <v>3</v>
      </c>
      <c r="D443" s="36" t="s">
        <v>878</v>
      </c>
      <c r="E443" s="36"/>
      <c r="F443" s="36"/>
      <c r="G443" s="36"/>
      <c r="H443" s="36"/>
      <c r="I443" s="36"/>
      <c r="J443" s="36"/>
      <c r="K443" s="37">
        <v>1</v>
      </c>
      <c r="L443" s="37">
        <f>ROUND(280.07,3)</f>
        <v>280.07</v>
      </c>
      <c r="M443" s="38">
        <f>ROUND(K443*L443,2)</f>
        <v>280.07</v>
      </c>
    </row>
    <row r="444" spans="1:13">
      <c r="A444" s="35" t="s">
        <v>495</v>
      </c>
      <c r="B444" s="35" t="s">
        <v>455</v>
      </c>
      <c r="C444" s="35" t="s">
        <v>456</v>
      </c>
      <c r="D444" s="36" t="s">
        <v>496</v>
      </c>
      <c r="E444" s="36"/>
      <c r="F444" s="36"/>
      <c r="G444" s="36"/>
      <c r="H444" s="36"/>
      <c r="I444" s="36"/>
      <c r="J444" s="36"/>
      <c r="K444" s="37">
        <v>2.25</v>
      </c>
      <c r="L444" s="37">
        <f>ROUND(17.32,3)</f>
        <v>17.32</v>
      </c>
      <c r="M444" s="38">
        <f>ROUND(K444*L444,2)</f>
        <v>38.97</v>
      </c>
    </row>
    <row r="445" spans="1:13">
      <c r="A445" s="52"/>
      <c r="B445" s="52"/>
      <c r="C445" s="52"/>
      <c r="D445" s="53" t="s">
        <v>874</v>
      </c>
      <c r="E445" s="52"/>
      <c r="F445" s="52"/>
      <c r="G445" s="52"/>
      <c r="H445" s="52"/>
      <c r="I445" s="52"/>
      <c r="J445" s="52"/>
      <c r="K445" s="54">
        <v>1</v>
      </c>
      <c r="L445" s="55">
        <f>ROUND((M443+M444)*(1+M2/100),2)</f>
        <v>328.61</v>
      </c>
      <c r="M445" s="55">
        <f>ROUND(K445*L445,2)</f>
        <v>328.61</v>
      </c>
    </row>
    <row r="446" spans="1:13">
      <c r="A446" s="56" t="s">
        <v>879</v>
      </c>
      <c r="B446" s="57" t="s">
        <v>431</v>
      </c>
      <c r="C446" s="57" t="s">
        <v>3</v>
      </c>
      <c r="D446" s="58" t="s">
        <v>880</v>
      </c>
      <c r="E446" s="58"/>
      <c r="F446" s="58"/>
      <c r="G446" s="58"/>
      <c r="H446" s="58"/>
      <c r="I446" s="58"/>
      <c r="J446" s="58"/>
      <c r="K446" s="59">
        <f>ROUND(1,2)</f>
        <v>1</v>
      </c>
      <c r="L446" s="60">
        <f>L450</f>
        <v>357.45</v>
      </c>
      <c r="M446" s="60">
        <f>ROUND(K446*L446,2)</f>
        <v>357.45</v>
      </c>
    </row>
    <row r="447" spans="1:13" ht="22.5">
      <c r="A447" s="39"/>
      <c r="B447" s="39"/>
      <c r="C447" s="39"/>
      <c r="D447" s="36" t="s">
        <v>881</v>
      </c>
      <c r="E447" s="36"/>
      <c r="F447" s="36"/>
      <c r="G447" s="36"/>
      <c r="H447" s="36"/>
      <c r="I447" s="36"/>
      <c r="J447" s="36"/>
      <c r="K447" s="36"/>
      <c r="L447" s="36"/>
      <c r="M447" s="36"/>
    </row>
    <row r="448" spans="1:13">
      <c r="A448" s="35" t="s">
        <v>882</v>
      </c>
      <c r="B448" s="35" t="s">
        <v>451</v>
      </c>
      <c r="C448" s="35" t="s">
        <v>3</v>
      </c>
      <c r="D448" s="36" t="s">
        <v>883</v>
      </c>
      <c r="E448" s="36"/>
      <c r="F448" s="36"/>
      <c r="G448" s="36"/>
      <c r="H448" s="36"/>
      <c r="I448" s="36"/>
      <c r="J448" s="36"/>
      <c r="K448" s="37">
        <v>1</v>
      </c>
      <c r="L448" s="37">
        <f>ROUND(308.07,3)</f>
        <v>308.07</v>
      </c>
      <c r="M448" s="38">
        <f>ROUND(K448*L448,2)</f>
        <v>308.07</v>
      </c>
    </row>
    <row r="449" spans="1:13">
      <c r="A449" s="35" t="s">
        <v>495</v>
      </c>
      <c r="B449" s="35" t="s">
        <v>455</v>
      </c>
      <c r="C449" s="35" t="s">
        <v>456</v>
      </c>
      <c r="D449" s="36" t="s">
        <v>496</v>
      </c>
      <c r="E449" s="36"/>
      <c r="F449" s="36"/>
      <c r="G449" s="36"/>
      <c r="H449" s="36"/>
      <c r="I449" s="36"/>
      <c r="J449" s="36"/>
      <c r="K449" s="37">
        <v>2.25</v>
      </c>
      <c r="L449" s="37">
        <f>ROUND(17.32,3)</f>
        <v>17.32</v>
      </c>
      <c r="M449" s="38">
        <f>ROUND(K449*L449,2)</f>
        <v>38.97</v>
      </c>
    </row>
    <row r="450" spans="1:13">
      <c r="A450" s="52"/>
      <c r="B450" s="52"/>
      <c r="C450" s="52"/>
      <c r="D450" s="53" t="s">
        <v>879</v>
      </c>
      <c r="E450" s="52"/>
      <c r="F450" s="52"/>
      <c r="G450" s="52"/>
      <c r="H450" s="52"/>
      <c r="I450" s="52"/>
      <c r="J450" s="52"/>
      <c r="K450" s="54">
        <v>1</v>
      </c>
      <c r="L450" s="55">
        <f>ROUND((M448+M449)*(1+M2/100),2)</f>
        <v>357.45</v>
      </c>
      <c r="M450" s="55">
        <f>ROUND(K450*L450,2)</f>
        <v>357.45</v>
      </c>
    </row>
    <row r="451" spans="1:13">
      <c r="A451" s="56" t="s">
        <v>884</v>
      </c>
      <c r="B451" s="57" t="s">
        <v>431</v>
      </c>
      <c r="C451" s="57" t="s">
        <v>3</v>
      </c>
      <c r="D451" s="58" t="s">
        <v>885</v>
      </c>
      <c r="E451" s="58"/>
      <c r="F451" s="58"/>
      <c r="G451" s="58"/>
      <c r="H451" s="58"/>
      <c r="I451" s="58"/>
      <c r="J451" s="58"/>
      <c r="K451" s="59">
        <f>ROUND(1,2)</f>
        <v>1</v>
      </c>
      <c r="L451" s="60">
        <f>L455</f>
        <v>1609.14</v>
      </c>
      <c r="M451" s="60">
        <f>ROUND(K451*L451,2)</f>
        <v>1609.14</v>
      </c>
    </row>
    <row r="452" spans="1:13" ht="22.5">
      <c r="A452" s="39"/>
      <c r="B452" s="39"/>
      <c r="C452" s="39"/>
      <c r="D452" s="36" t="s">
        <v>886</v>
      </c>
      <c r="E452" s="36"/>
      <c r="F452" s="36"/>
      <c r="G452" s="36"/>
      <c r="H452" s="36"/>
      <c r="I452" s="36"/>
      <c r="J452" s="36"/>
      <c r="K452" s="36"/>
      <c r="L452" s="36"/>
      <c r="M452" s="36"/>
    </row>
    <row r="453" spans="1:13">
      <c r="A453" s="35" t="s">
        <v>887</v>
      </c>
      <c r="B453" s="35" t="s">
        <v>451</v>
      </c>
      <c r="C453" s="35" t="s">
        <v>3</v>
      </c>
      <c r="D453" s="36" t="s">
        <v>888</v>
      </c>
      <c r="E453" s="36"/>
      <c r="F453" s="36"/>
      <c r="G453" s="36"/>
      <c r="H453" s="36"/>
      <c r="I453" s="36"/>
      <c r="J453" s="36"/>
      <c r="K453" s="37">
        <v>1</v>
      </c>
      <c r="L453" s="37">
        <f>ROUND(1510.31,3)</f>
        <v>1510.31</v>
      </c>
      <c r="M453" s="38">
        <f>ROUND(K453*L453,2)</f>
        <v>1510.31</v>
      </c>
    </row>
    <row r="454" spans="1:13">
      <c r="A454" s="35" t="s">
        <v>495</v>
      </c>
      <c r="B454" s="35" t="s">
        <v>455</v>
      </c>
      <c r="C454" s="35" t="s">
        <v>456</v>
      </c>
      <c r="D454" s="36" t="s">
        <v>496</v>
      </c>
      <c r="E454" s="36"/>
      <c r="F454" s="36"/>
      <c r="G454" s="36"/>
      <c r="H454" s="36"/>
      <c r="I454" s="36"/>
      <c r="J454" s="36"/>
      <c r="K454" s="37">
        <v>3</v>
      </c>
      <c r="L454" s="37">
        <f>ROUND(17.32,3)</f>
        <v>17.32</v>
      </c>
      <c r="M454" s="38">
        <f>ROUND(K454*L454,2)</f>
        <v>51.96</v>
      </c>
    </row>
    <row r="455" spans="1:13">
      <c r="A455" s="52"/>
      <c r="B455" s="52"/>
      <c r="C455" s="52"/>
      <c r="D455" s="53" t="s">
        <v>884</v>
      </c>
      <c r="E455" s="52"/>
      <c r="F455" s="52"/>
      <c r="G455" s="52"/>
      <c r="H455" s="52"/>
      <c r="I455" s="52"/>
      <c r="J455" s="52"/>
      <c r="K455" s="54">
        <v>1</v>
      </c>
      <c r="L455" s="55">
        <f>ROUND((M453+M454)*(1+M2/100),2)</f>
        <v>1609.14</v>
      </c>
      <c r="M455" s="55">
        <f>ROUND(K455*L455,2)</f>
        <v>1609.14</v>
      </c>
    </row>
    <row r="456" spans="1:13">
      <c r="A456" s="56" t="s">
        <v>889</v>
      </c>
      <c r="B456" s="57" t="s">
        <v>431</v>
      </c>
      <c r="C456" s="57" t="s">
        <v>3</v>
      </c>
      <c r="D456" s="58" t="s">
        <v>890</v>
      </c>
      <c r="E456" s="58"/>
      <c r="F456" s="58"/>
      <c r="G456" s="58"/>
      <c r="H456" s="58"/>
      <c r="I456" s="58"/>
      <c r="J456" s="58"/>
      <c r="K456" s="59">
        <f>ROUND(9,2)</f>
        <v>9</v>
      </c>
      <c r="L456" s="60">
        <f>L460</f>
        <v>184.5</v>
      </c>
      <c r="M456" s="60">
        <f>ROUND(K456*L456,2)</f>
        <v>1660.5</v>
      </c>
    </row>
    <row r="457" spans="1:13" ht="22.5">
      <c r="A457" s="39"/>
      <c r="B457" s="39"/>
      <c r="C457" s="39"/>
      <c r="D457" s="36" t="s">
        <v>891</v>
      </c>
      <c r="E457" s="36"/>
      <c r="F457" s="36"/>
      <c r="G457" s="36"/>
      <c r="H457" s="36"/>
      <c r="I457" s="36"/>
      <c r="J457" s="36"/>
      <c r="K457" s="36"/>
      <c r="L457" s="36"/>
      <c r="M457" s="36"/>
    </row>
    <row r="458" spans="1:13">
      <c r="A458" s="35" t="s">
        <v>892</v>
      </c>
      <c r="B458" s="35" t="s">
        <v>451</v>
      </c>
      <c r="C458" s="35" t="s">
        <v>3</v>
      </c>
      <c r="D458" s="36" t="s">
        <v>893</v>
      </c>
      <c r="E458" s="36"/>
      <c r="F458" s="36"/>
      <c r="G458" s="36"/>
      <c r="H458" s="36"/>
      <c r="I458" s="36"/>
      <c r="J458" s="36"/>
      <c r="K458" s="37">
        <v>1</v>
      </c>
      <c r="L458" s="37">
        <f>ROUND(140.16,3)</f>
        <v>140.16</v>
      </c>
      <c r="M458" s="38">
        <f>ROUND(K458*L458,2)</f>
        <v>140.16</v>
      </c>
    </row>
    <row r="459" spans="1:13">
      <c r="A459" s="35" t="s">
        <v>495</v>
      </c>
      <c r="B459" s="35" t="s">
        <v>455</v>
      </c>
      <c r="C459" s="35" t="s">
        <v>456</v>
      </c>
      <c r="D459" s="36" t="s">
        <v>496</v>
      </c>
      <c r="E459" s="36"/>
      <c r="F459" s="36"/>
      <c r="G459" s="36"/>
      <c r="H459" s="36"/>
      <c r="I459" s="36"/>
      <c r="J459" s="36"/>
      <c r="K459" s="37">
        <v>2.25</v>
      </c>
      <c r="L459" s="37">
        <f>ROUND(17.32,3)</f>
        <v>17.32</v>
      </c>
      <c r="M459" s="38">
        <f>ROUND(K459*L459,2)</f>
        <v>38.97</v>
      </c>
    </row>
    <row r="460" spans="1:13">
      <c r="A460" s="52"/>
      <c r="B460" s="52"/>
      <c r="C460" s="52"/>
      <c r="D460" s="53" t="s">
        <v>889</v>
      </c>
      <c r="E460" s="52"/>
      <c r="F460" s="52"/>
      <c r="G460" s="52"/>
      <c r="H460" s="52"/>
      <c r="I460" s="52"/>
      <c r="J460" s="52"/>
      <c r="K460" s="54">
        <v>9</v>
      </c>
      <c r="L460" s="55">
        <f>ROUND((M458+M459)*(1+M2/100),2)</f>
        <v>184.5</v>
      </c>
      <c r="M460" s="55">
        <f>ROUND(K460*L460,2)</f>
        <v>1660.5</v>
      </c>
    </row>
    <row r="461" spans="1:13">
      <c r="A461" s="56" t="s">
        <v>894</v>
      </c>
      <c r="B461" s="57" t="s">
        <v>431</v>
      </c>
      <c r="C461" s="57" t="s">
        <v>3</v>
      </c>
      <c r="D461" s="58" t="s">
        <v>895</v>
      </c>
      <c r="E461" s="58"/>
      <c r="F461" s="58"/>
      <c r="G461" s="58"/>
      <c r="H461" s="58"/>
      <c r="I461" s="58"/>
      <c r="J461" s="58"/>
      <c r="K461" s="59">
        <f>ROUND(3,2)</f>
        <v>3</v>
      </c>
      <c r="L461" s="60">
        <f>L465</f>
        <v>368.18</v>
      </c>
      <c r="M461" s="60">
        <f>ROUND(K461*L461,2)</f>
        <v>1104.54</v>
      </c>
    </row>
    <row r="462" spans="1:13" ht="33.75">
      <c r="A462" s="39"/>
      <c r="B462" s="39"/>
      <c r="C462" s="39"/>
      <c r="D462" s="36" t="s">
        <v>896</v>
      </c>
      <c r="E462" s="36"/>
      <c r="F462" s="36"/>
      <c r="G462" s="36"/>
      <c r="H462" s="36"/>
      <c r="I462" s="36"/>
      <c r="J462" s="36"/>
      <c r="K462" s="36"/>
      <c r="L462" s="36"/>
      <c r="M462" s="36"/>
    </row>
    <row r="463" spans="1:13">
      <c r="A463" s="35" t="s">
        <v>897</v>
      </c>
      <c r="B463" s="35" t="s">
        <v>451</v>
      </c>
      <c r="C463" s="35" t="s">
        <v>3</v>
      </c>
      <c r="D463" s="36" t="s">
        <v>898</v>
      </c>
      <c r="E463" s="36"/>
      <c r="F463" s="36"/>
      <c r="G463" s="36"/>
      <c r="H463" s="36"/>
      <c r="I463" s="36"/>
      <c r="J463" s="36"/>
      <c r="K463" s="37">
        <v>1</v>
      </c>
      <c r="L463" s="37">
        <f>ROUND(314.16,3)</f>
        <v>314.16000000000003</v>
      </c>
      <c r="M463" s="38">
        <f>ROUND(K463*L463,2)</f>
        <v>314.16000000000003</v>
      </c>
    </row>
    <row r="464" spans="1:13">
      <c r="A464" s="35" t="s">
        <v>495</v>
      </c>
      <c r="B464" s="35" t="s">
        <v>455</v>
      </c>
      <c r="C464" s="35" t="s">
        <v>456</v>
      </c>
      <c r="D464" s="36" t="s">
        <v>496</v>
      </c>
      <c r="E464" s="36"/>
      <c r="F464" s="36"/>
      <c r="G464" s="36"/>
      <c r="H464" s="36"/>
      <c r="I464" s="36"/>
      <c r="J464" s="36"/>
      <c r="K464" s="37">
        <v>2.5</v>
      </c>
      <c r="L464" s="37">
        <f>ROUND(17.32,3)</f>
        <v>17.32</v>
      </c>
      <c r="M464" s="38">
        <f>ROUND(K464*L464,2)</f>
        <v>43.3</v>
      </c>
    </row>
    <row r="465" spans="1:13">
      <c r="A465" s="52"/>
      <c r="B465" s="52"/>
      <c r="C465" s="52"/>
      <c r="D465" s="53" t="s">
        <v>894</v>
      </c>
      <c r="E465" s="52"/>
      <c r="F465" s="52"/>
      <c r="G465" s="52"/>
      <c r="H465" s="52"/>
      <c r="I465" s="52"/>
      <c r="J465" s="52"/>
      <c r="K465" s="54">
        <v>3</v>
      </c>
      <c r="L465" s="55">
        <f>ROUND((M463+M464)*(1+M2/100),2)</f>
        <v>368.18</v>
      </c>
      <c r="M465" s="55">
        <f>ROUND(K465*L465,2)</f>
        <v>1104.54</v>
      </c>
    </row>
    <row r="466" spans="1:13">
      <c r="A466" s="56" t="s">
        <v>899</v>
      </c>
      <c r="B466" s="57" t="s">
        <v>431</v>
      </c>
      <c r="C466" s="57" t="s">
        <v>3</v>
      </c>
      <c r="D466" s="58" t="s">
        <v>900</v>
      </c>
      <c r="E466" s="58"/>
      <c r="F466" s="58"/>
      <c r="G466" s="58"/>
      <c r="H466" s="58"/>
      <c r="I466" s="58"/>
      <c r="J466" s="58"/>
      <c r="K466" s="59">
        <f>ROUND(1,2)</f>
        <v>1</v>
      </c>
      <c r="L466" s="60">
        <f>L470</f>
        <v>493.29</v>
      </c>
      <c r="M466" s="60">
        <f>ROUND(K466*L466,2)</f>
        <v>493.29</v>
      </c>
    </row>
    <row r="467" spans="1:13" ht="22.5">
      <c r="A467" s="39"/>
      <c r="B467" s="39"/>
      <c r="C467" s="39"/>
      <c r="D467" s="36" t="s">
        <v>776</v>
      </c>
      <c r="E467" s="36"/>
      <c r="F467" s="36"/>
      <c r="G467" s="36"/>
      <c r="H467" s="36"/>
      <c r="I467" s="36"/>
      <c r="J467" s="36"/>
      <c r="K467" s="36"/>
      <c r="L467" s="36"/>
      <c r="M467" s="36"/>
    </row>
    <row r="468" spans="1:13">
      <c r="A468" s="35" t="s">
        <v>901</v>
      </c>
      <c r="B468" s="35" t="s">
        <v>451</v>
      </c>
      <c r="C468" s="35" t="s">
        <v>3</v>
      </c>
      <c r="D468" s="36" t="s">
        <v>900</v>
      </c>
      <c r="E468" s="36"/>
      <c r="F468" s="36"/>
      <c r="G468" s="36"/>
      <c r="H468" s="36"/>
      <c r="I468" s="36"/>
      <c r="J468" s="36"/>
      <c r="K468" s="37">
        <v>1</v>
      </c>
      <c r="L468" s="37">
        <f>ROUND(375,3)</f>
        <v>375</v>
      </c>
      <c r="M468" s="38">
        <f>ROUND(K468*L468,2)</f>
        <v>375</v>
      </c>
    </row>
    <row r="469" spans="1:13">
      <c r="A469" s="35" t="s">
        <v>495</v>
      </c>
      <c r="B469" s="35" t="s">
        <v>455</v>
      </c>
      <c r="C469" s="35" t="s">
        <v>456</v>
      </c>
      <c r="D469" s="36" t="s">
        <v>496</v>
      </c>
      <c r="E469" s="36"/>
      <c r="F469" s="36"/>
      <c r="G469" s="36"/>
      <c r="H469" s="36"/>
      <c r="I469" s="36"/>
      <c r="J469" s="36"/>
      <c r="K469" s="37">
        <v>6</v>
      </c>
      <c r="L469" s="37">
        <f>ROUND(17.32,3)</f>
        <v>17.32</v>
      </c>
      <c r="M469" s="38">
        <f>ROUND(K469*L469,2)</f>
        <v>103.92</v>
      </c>
    </row>
    <row r="470" spans="1:13">
      <c r="A470" s="52"/>
      <c r="B470" s="52"/>
      <c r="C470" s="52"/>
      <c r="D470" s="53" t="s">
        <v>899</v>
      </c>
      <c r="E470" s="52"/>
      <c r="F470" s="52"/>
      <c r="G470" s="52"/>
      <c r="H470" s="52"/>
      <c r="I470" s="52"/>
      <c r="J470" s="52"/>
      <c r="K470" s="54">
        <v>1</v>
      </c>
      <c r="L470" s="55">
        <f>ROUND((M468+M469)*(1+M2/100),2)</f>
        <v>493.29</v>
      </c>
      <c r="M470" s="55">
        <f>ROUND(K470*L470,2)</f>
        <v>493.29</v>
      </c>
    </row>
    <row r="471" spans="1:13">
      <c r="A471" s="56" t="s">
        <v>902</v>
      </c>
      <c r="B471" s="57" t="s">
        <v>431</v>
      </c>
      <c r="C471" s="57" t="s">
        <v>3</v>
      </c>
      <c r="D471" s="58" t="s">
        <v>903</v>
      </c>
      <c r="E471" s="58"/>
      <c r="F471" s="58"/>
      <c r="G471" s="58"/>
      <c r="H471" s="58"/>
      <c r="I471" s="58"/>
      <c r="J471" s="58"/>
      <c r="K471" s="59">
        <f>ROUND(1,2)</f>
        <v>1</v>
      </c>
      <c r="L471" s="60">
        <f>L475</f>
        <v>493.29</v>
      </c>
      <c r="M471" s="60">
        <f>ROUND(K471*L471,2)</f>
        <v>493.29</v>
      </c>
    </row>
    <row r="472" spans="1:13" ht="22.5">
      <c r="A472" s="39"/>
      <c r="B472" s="39"/>
      <c r="C472" s="39"/>
      <c r="D472" s="36" t="s">
        <v>776</v>
      </c>
      <c r="E472" s="36"/>
      <c r="F472" s="36"/>
      <c r="G472" s="36"/>
      <c r="H472" s="36"/>
      <c r="I472" s="36"/>
      <c r="J472" s="36"/>
      <c r="K472" s="36"/>
      <c r="L472" s="36"/>
      <c r="M472" s="36"/>
    </row>
    <row r="473" spans="1:13">
      <c r="A473" s="35" t="s">
        <v>904</v>
      </c>
      <c r="B473" s="35" t="s">
        <v>451</v>
      </c>
      <c r="C473" s="35" t="s">
        <v>3</v>
      </c>
      <c r="D473" s="36" t="s">
        <v>903</v>
      </c>
      <c r="E473" s="36"/>
      <c r="F473" s="36"/>
      <c r="G473" s="36"/>
      <c r="H473" s="36"/>
      <c r="I473" s="36"/>
      <c r="J473" s="36"/>
      <c r="K473" s="37">
        <v>1</v>
      </c>
      <c r="L473" s="37">
        <f>ROUND(375,3)</f>
        <v>375</v>
      </c>
      <c r="M473" s="38">
        <f>ROUND(K473*L473,2)</f>
        <v>375</v>
      </c>
    </row>
    <row r="474" spans="1:13">
      <c r="A474" s="35" t="s">
        <v>495</v>
      </c>
      <c r="B474" s="35" t="s">
        <v>455</v>
      </c>
      <c r="C474" s="35" t="s">
        <v>456</v>
      </c>
      <c r="D474" s="36" t="s">
        <v>496</v>
      </c>
      <c r="E474" s="36"/>
      <c r="F474" s="36"/>
      <c r="G474" s="36"/>
      <c r="H474" s="36"/>
      <c r="I474" s="36"/>
      <c r="J474" s="36"/>
      <c r="K474" s="37">
        <v>6</v>
      </c>
      <c r="L474" s="37">
        <f>ROUND(17.32,3)</f>
        <v>17.32</v>
      </c>
      <c r="M474" s="38">
        <f>ROUND(K474*L474,2)</f>
        <v>103.92</v>
      </c>
    </row>
    <row r="475" spans="1:13">
      <c r="A475" s="52"/>
      <c r="B475" s="52"/>
      <c r="C475" s="52"/>
      <c r="D475" s="53" t="s">
        <v>902</v>
      </c>
      <c r="E475" s="52"/>
      <c r="F475" s="52"/>
      <c r="G475" s="52"/>
      <c r="H475" s="52"/>
      <c r="I475" s="52"/>
      <c r="J475" s="52"/>
      <c r="K475" s="54">
        <v>1</v>
      </c>
      <c r="L475" s="55">
        <f>ROUND((M473+M474)*(1+M2/100),2)</f>
        <v>493.29</v>
      </c>
      <c r="M475" s="55">
        <f>ROUND(K475*L475,2)</f>
        <v>493.29</v>
      </c>
    </row>
    <row r="476" spans="1:13">
      <c r="A476" s="56" t="s">
        <v>905</v>
      </c>
      <c r="B476" s="57" t="s">
        <v>431</v>
      </c>
      <c r="C476" s="57" t="s">
        <v>3</v>
      </c>
      <c r="D476" s="58" t="s">
        <v>906</v>
      </c>
      <c r="E476" s="58"/>
      <c r="F476" s="58"/>
      <c r="G476" s="58"/>
      <c r="H476" s="58"/>
      <c r="I476" s="58"/>
      <c r="J476" s="58"/>
      <c r="K476" s="59">
        <f>ROUND(1,2)</f>
        <v>1</v>
      </c>
      <c r="L476" s="60">
        <f>L480</f>
        <v>642.64</v>
      </c>
      <c r="M476" s="60">
        <f>ROUND(K476*L476,2)</f>
        <v>642.64</v>
      </c>
    </row>
    <row r="477" spans="1:13" ht="22.5">
      <c r="A477" s="39"/>
      <c r="B477" s="39"/>
      <c r="C477" s="39"/>
      <c r="D477" s="36" t="s">
        <v>776</v>
      </c>
      <c r="E477" s="36"/>
      <c r="F477" s="36"/>
      <c r="G477" s="36"/>
      <c r="H477" s="36"/>
      <c r="I477" s="36"/>
      <c r="J477" s="36"/>
      <c r="K477" s="36"/>
      <c r="L477" s="36"/>
      <c r="M477" s="36"/>
    </row>
    <row r="478" spans="1:13">
      <c r="A478" s="35" t="s">
        <v>907</v>
      </c>
      <c r="B478" s="35" t="s">
        <v>451</v>
      </c>
      <c r="C478" s="35" t="s">
        <v>3</v>
      </c>
      <c r="D478" s="36" t="s">
        <v>906</v>
      </c>
      <c r="E478" s="36"/>
      <c r="F478" s="36"/>
      <c r="G478" s="36"/>
      <c r="H478" s="36"/>
      <c r="I478" s="36"/>
      <c r="J478" s="36"/>
      <c r="K478" s="37">
        <v>1</v>
      </c>
      <c r="L478" s="37">
        <f>ROUND(520,3)</f>
        <v>520</v>
      </c>
      <c r="M478" s="38">
        <f>ROUND(K478*L478,2)</f>
        <v>520</v>
      </c>
    </row>
    <row r="479" spans="1:13">
      <c r="A479" s="35" t="s">
        <v>495</v>
      </c>
      <c r="B479" s="35" t="s">
        <v>455</v>
      </c>
      <c r="C479" s="35" t="s">
        <v>456</v>
      </c>
      <c r="D479" s="36" t="s">
        <v>496</v>
      </c>
      <c r="E479" s="36"/>
      <c r="F479" s="36"/>
      <c r="G479" s="36"/>
      <c r="H479" s="36"/>
      <c r="I479" s="36"/>
      <c r="J479" s="36"/>
      <c r="K479" s="37">
        <v>6</v>
      </c>
      <c r="L479" s="37">
        <f>ROUND(17.32,3)</f>
        <v>17.32</v>
      </c>
      <c r="M479" s="38">
        <f>ROUND(K479*L479,2)</f>
        <v>103.92</v>
      </c>
    </row>
    <row r="480" spans="1:13">
      <c r="A480" s="52"/>
      <c r="B480" s="52"/>
      <c r="C480" s="52"/>
      <c r="D480" s="53" t="s">
        <v>905</v>
      </c>
      <c r="E480" s="52"/>
      <c r="F480" s="52"/>
      <c r="G480" s="52"/>
      <c r="H480" s="52"/>
      <c r="I480" s="52"/>
      <c r="J480" s="52"/>
      <c r="K480" s="54">
        <v>1</v>
      </c>
      <c r="L480" s="55">
        <f>ROUND((M478+M479)*(1+M2/100),2)</f>
        <v>642.64</v>
      </c>
      <c r="M480" s="55">
        <f>ROUND(K480*L480,2)</f>
        <v>642.64</v>
      </c>
    </row>
    <row r="481" spans="1:13">
      <c r="A481" s="56" t="s">
        <v>908</v>
      </c>
      <c r="B481" s="57" t="s">
        <v>431</v>
      </c>
      <c r="C481" s="57" t="s">
        <v>3</v>
      </c>
      <c r="D481" s="58" t="s">
        <v>909</v>
      </c>
      <c r="E481" s="58"/>
      <c r="F481" s="58"/>
      <c r="G481" s="58"/>
      <c r="H481" s="58"/>
      <c r="I481" s="58"/>
      <c r="J481" s="58"/>
      <c r="K481" s="59">
        <f>ROUND(2,2)</f>
        <v>2</v>
      </c>
      <c r="L481" s="60">
        <f>L485</f>
        <v>39.57</v>
      </c>
      <c r="M481" s="60">
        <f>ROUND(K481*L481,2)</f>
        <v>79.14</v>
      </c>
    </row>
    <row r="482" spans="1:13">
      <c r="A482" s="39"/>
      <c r="B482" s="39"/>
      <c r="C482" s="39"/>
      <c r="D482" s="36" t="s">
        <v>910</v>
      </c>
      <c r="E482" s="36"/>
      <c r="F482" s="36"/>
      <c r="G482" s="36"/>
      <c r="H482" s="36"/>
      <c r="I482" s="36"/>
      <c r="J482" s="36"/>
      <c r="K482" s="36"/>
      <c r="L482" s="36"/>
      <c r="M482" s="36"/>
    </row>
    <row r="483" spans="1:13">
      <c r="A483" s="35" t="s">
        <v>911</v>
      </c>
      <c r="B483" s="35" t="s">
        <v>451</v>
      </c>
      <c r="C483" s="35" t="s">
        <v>3</v>
      </c>
      <c r="D483" s="36" t="s">
        <v>912</v>
      </c>
      <c r="E483" s="36"/>
      <c r="F483" s="36"/>
      <c r="G483" s="36"/>
      <c r="H483" s="36"/>
      <c r="I483" s="36"/>
      <c r="J483" s="36"/>
      <c r="K483" s="37">
        <v>1</v>
      </c>
      <c r="L483" s="37">
        <f>ROUND(17.64,3)</f>
        <v>17.64</v>
      </c>
      <c r="M483" s="38">
        <f>ROUND(K483*L483,2)</f>
        <v>17.64</v>
      </c>
    </row>
    <row r="484" spans="1:13">
      <c r="A484" s="35" t="s">
        <v>495</v>
      </c>
      <c r="B484" s="35" t="s">
        <v>455</v>
      </c>
      <c r="C484" s="35" t="s">
        <v>456</v>
      </c>
      <c r="D484" s="36" t="s">
        <v>496</v>
      </c>
      <c r="E484" s="36"/>
      <c r="F484" s="36"/>
      <c r="G484" s="36"/>
      <c r="H484" s="36"/>
      <c r="I484" s="36"/>
      <c r="J484" s="36"/>
      <c r="K484" s="37">
        <v>1.2</v>
      </c>
      <c r="L484" s="37">
        <f>ROUND(17.32,3)</f>
        <v>17.32</v>
      </c>
      <c r="M484" s="38">
        <f>ROUND(K484*L484,2)</f>
        <v>20.78</v>
      </c>
    </row>
    <row r="485" spans="1:13">
      <c r="A485" s="52"/>
      <c r="B485" s="52"/>
      <c r="C485" s="52"/>
      <c r="D485" s="53" t="s">
        <v>908</v>
      </c>
      <c r="E485" s="52"/>
      <c r="F485" s="52"/>
      <c r="G485" s="52"/>
      <c r="H485" s="52"/>
      <c r="I485" s="52"/>
      <c r="J485" s="52"/>
      <c r="K485" s="54">
        <v>2</v>
      </c>
      <c r="L485" s="55">
        <f>ROUND((M483+M484)*(1+M2/100),2)</f>
        <v>39.57</v>
      </c>
      <c r="M485" s="55">
        <f>ROUND(K485*L485,2)</f>
        <v>79.14</v>
      </c>
    </row>
    <row r="486" spans="1:13">
      <c r="A486" s="56" t="s">
        <v>169</v>
      </c>
      <c r="B486" s="57" t="s">
        <v>431</v>
      </c>
      <c r="C486" s="57" t="s">
        <v>3</v>
      </c>
      <c r="D486" s="58" t="s">
        <v>913</v>
      </c>
      <c r="E486" s="58"/>
      <c r="F486" s="58"/>
      <c r="G486" s="58"/>
      <c r="H486" s="58"/>
      <c r="I486" s="58"/>
      <c r="J486" s="58"/>
      <c r="K486" s="59">
        <f>ROUND(26,2)</f>
        <v>26</v>
      </c>
      <c r="L486" s="60">
        <f>L490</f>
        <v>54.65</v>
      </c>
      <c r="M486" s="60">
        <f>ROUND(K486*L486,2)</f>
        <v>1420.9</v>
      </c>
    </row>
    <row r="487" spans="1:13">
      <c r="A487" s="39"/>
      <c r="B487" s="39"/>
      <c r="C487" s="39"/>
      <c r="D487" s="36" t="s">
        <v>914</v>
      </c>
      <c r="E487" s="36"/>
      <c r="F487" s="36"/>
      <c r="G487" s="36"/>
      <c r="H487" s="36"/>
      <c r="I487" s="36"/>
      <c r="J487" s="36"/>
      <c r="K487" s="36"/>
      <c r="L487" s="36"/>
      <c r="M487" s="36"/>
    </row>
    <row r="488" spans="1:13">
      <c r="A488" s="35" t="s">
        <v>915</v>
      </c>
      <c r="B488" s="35" t="s">
        <v>451</v>
      </c>
      <c r="C488" s="35" t="s">
        <v>3</v>
      </c>
      <c r="D488" s="36" t="s">
        <v>916</v>
      </c>
      <c r="E488" s="36"/>
      <c r="F488" s="36"/>
      <c r="G488" s="36"/>
      <c r="H488" s="36"/>
      <c r="I488" s="36"/>
      <c r="J488" s="36"/>
      <c r="K488" s="37">
        <v>1</v>
      </c>
      <c r="L488" s="37">
        <f>ROUND(44.4,3)</f>
        <v>44.4</v>
      </c>
      <c r="M488" s="38">
        <f>ROUND(K488*L488,2)</f>
        <v>44.4</v>
      </c>
    </row>
    <row r="489" spans="1:13">
      <c r="A489" s="35" t="s">
        <v>495</v>
      </c>
      <c r="B489" s="35" t="s">
        <v>455</v>
      </c>
      <c r="C489" s="35" t="s">
        <v>456</v>
      </c>
      <c r="D489" s="36" t="s">
        <v>496</v>
      </c>
      <c r="E489" s="36"/>
      <c r="F489" s="36"/>
      <c r="G489" s="36"/>
      <c r="H489" s="36"/>
      <c r="I489" s="36"/>
      <c r="J489" s="36"/>
      <c r="K489" s="37">
        <v>0.5</v>
      </c>
      <c r="L489" s="37">
        <f>ROUND(17.32,3)</f>
        <v>17.32</v>
      </c>
      <c r="M489" s="38">
        <f>ROUND(K489*L489,2)</f>
        <v>8.66</v>
      </c>
    </row>
    <row r="490" spans="1:13">
      <c r="A490" s="52"/>
      <c r="B490" s="52"/>
      <c r="C490" s="52"/>
      <c r="D490" s="53" t="s">
        <v>169</v>
      </c>
      <c r="E490" s="52"/>
      <c r="F490" s="52"/>
      <c r="G490" s="52"/>
      <c r="H490" s="52"/>
      <c r="I490" s="52"/>
      <c r="J490" s="52"/>
      <c r="K490" s="54">
        <v>26</v>
      </c>
      <c r="L490" s="55">
        <f>ROUND((M488+M489)*(1+M2/100),2)</f>
        <v>54.65</v>
      </c>
      <c r="M490" s="55">
        <f>ROUND(K490*L490,2)</f>
        <v>1420.9</v>
      </c>
    </row>
    <row r="491" spans="1:13">
      <c r="A491" s="56" t="s">
        <v>917</v>
      </c>
      <c r="B491" s="57" t="s">
        <v>431</v>
      </c>
      <c r="C491" s="57" t="s">
        <v>3</v>
      </c>
      <c r="D491" s="58" t="s">
        <v>918</v>
      </c>
      <c r="E491" s="58"/>
      <c r="F491" s="58"/>
      <c r="G491" s="58"/>
      <c r="H491" s="58"/>
      <c r="I491" s="58"/>
      <c r="J491" s="58"/>
      <c r="K491" s="59">
        <f>ROUND(13,2)</f>
        <v>13</v>
      </c>
      <c r="L491" s="60">
        <f>L495</f>
        <v>344.73</v>
      </c>
      <c r="M491" s="60">
        <f>ROUND(K491*L491,2)</f>
        <v>4481.49</v>
      </c>
    </row>
    <row r="492" spans="1:13" ht="22.5">
      <c r="A492" s="39"/>
      <c r="B492" s="39"/>
      <c r="C492" s="39"/>
      <c r="D492" s="36" t="s">
        <v>919</v>
      </c>
      <c r="E492" s="36"/>
      <c r="F492" s="36"/>
      <c r="G492" s="36"/>
      <c r="H492" s="36"/>
      <c r="I492" s="36"/>
      <c r="J492" s="36"/>
      <c r="K492" s="36"/>
      <c r="L492" s="36"/>
      <c r="M492" s="36"/>
    </row>
    <row r="493" spans="1:13">
      <c r="A493" s="35" t="s">
        <v>920</v>
      </c>
      <c r="B493" s="35" t="s">
        <v>451</v>
      </c>
      <c r="C493" s="35" t="s">
        <v>3</v>
      </c>
      <c r="D493" s="36" t="s">
        <v>921</v>
      </c>
      <c r="E493" s="36"/>
      <c r="F493" s="36"/>
      <c r="G493" s="36"/>
      <c r="H493" s="36"/>
      <c r="I493" s="36"/>
      <c r="J493" s="36"/>
      <c r="K493" s="37">
        <v>1</v>
      </c>
      <c r="L493" s="37">
        <f>ROUND(308.71,3)</f>
        <v>308.70999999999998</v>
      </c>
      <c r="M493" s="38">
        <f>ROUND(K493*L493,2)</f>
        <v>308.70999999999998</v>
      </c>
    </row>
    <row r="494" spans="1:13">
      <c r="A494" s="35" t="s">
        <v>495</v>
      </c>
      <c r="B494" s="35" t="s">
        <v>455</v>
      </c>
      <c r="C494" s="35" t="s">
        <v>456</v>
      </c>
      <c r="D494" s="36" t="s">
        <v>496</v>
      </c>
      <c r="E494" s="36"/>
      <c r="F494" s="36"/>
      <c r="G494" s="36"/>
      <c r="H494" s="36"/>
      <c r="I494" s="36"/>
      <c r="J494" s="36"/>
      <c r="K494" s="37">
        <v>1.5</v>
      </c>
      <c r="L494" s="37">
        <f>ROUND(17.32,3)</f>
        <v>17.32</v>
      </c>
      <c r="M494" s="38">
        <f>ROUND(K494*L494,2)</f>
        <v>25.98</v>
      </c>
    </row>
    <row r="495" spans="1:13">
      <c r="A495" s="52"/>
      <c r="B495" s="52"/>
      <c r="C495" s="52"/>
      <c r="D495" s="53" t="s">
        <v>917</v>
      </c>
      <c r="E495" s="52"/>
      <c r="F495" s="52"/>
      <c r="G495" s="52"/>
      <c r="H495" s="52"/>
      <c r="I495" s="52"/>
      <c r="J495" s="52"/>
      <c r="K495" s="54">
        <v>13</v>
      </c>
      <c r="L495" s="55">
        <f>ROUND((M493+M494)*(1+M2/100),2)</f>
        <v>344.73</v>
      </c>
      <c r="M495" s="55">
        <f>ROUND(K495*L495,2)</f>
        <v>4481.49</v>
      </c>
    </row>
    <row r="496" spans="1:13">
      <c r="A496" s="56" t="s">
        <v>778</v>
      </c>
      <c r="B496" s="57" t="s">
        <v>431</v>
      </c>
      <c r="C496" s="57" t="s">
        <v>3</v>
      </c>
      <c r="D496" s="58" t="s">
        <v>922</v>
      </c>
      <c r="E496" s="58"/>
      <c r="F496" s="58"/>
      <c r="G496" s="58"/>
      <c r="H496" s="58"/>
      <c r="I496" s="58"/>
      <c r="J496" s="58"/>
      <c r="K496" s="59">
        <f>ROUND(1,2)</f>
        <v>1</v>
      </c>
      <c r="L496" s="60">
        <f>L500</f>
        <v>1111.26</v>
      </c>
      <c r="M496" s="60">
        <f>ROUND(K496*L496,2)</f>
        <v>1111.26</v>
      </c>
    </row>
    <row r="497" spans="1:13" ht="33.75">
      <c r="A497" s="39"/>
      <c r="B497" s="39"/>
      <c r="C497" s="39"/>
      <c r="D497" s="36" t="s">
        <v>780</v>
      </c>
      <c r="E497" s="36"/>
      <c r="F497" s="36"/>
      <c r="G497" s="36"/>
      <c r="H497" s="36"/>
      <c r="I497" s="36"/>
      <c r="J497" s="36"/>
      <c r="K497" s="36"/>
      <c r="L497" s="36"/>
      <c r="M497" s="36"/>
    </row>
    <row r="498" spans="1:13">
      <c r="A498" s="35" t="s">
        <v>781</v>
      </c>
      <c r="B498" s="35" t="s">
        <v>451</v>
      </c>
      <c r="C498" s="35" t="s">
        <v>724</v>
      </c>
      <c r="D498" s="36" t="s">
        <v>782</v>
      </c>
      <c r="E498" s="36"/>
      <c r="F498" s="36"/>
      <c r="G498" s="36"/>
      <c r="H498" s="36"/>
      <c r="I498" s="36"/>
      <c r="J498" s="36"/>
      <c r="K498" s="37">
        <v>1</v>
      </c>
      <c r="L498" s="37">
        <f>ROUND(1073.69,3)</f>
        <v>1073.69</v>
      </c>
      <c r="M498" s="38">
        <f>ROUND(K498*L498,2)</f>
        <v>1073.69</v>
      </c>
    </row>
    <row r="499" spans="1:13">
      <c r="A499" s="35" t="s">
        <v>495</v>
      </c>
      <c r="B499" s="35" t="s">
        <v>455</v>
      </c>
      <c r="C499" s="35" t="s">
        <v>456</v>
      </c>
      <c r="D499" s="36" t="s">
        <v>496</v>
      </c>
      <c r="E499" s="36"/>
      <c r="F499" s="36"/>
      <c r="G499" s="36"/>
      <c r="H499" s="36"/>
      <c r="I499" s="36"/>
      <c r="J499" s="36"/>
      <c r="K499" s="37">
        <v>0.3</v>
      </c>
      <c r="L499" s="37">
        <f>ROUND(17.32,3)</f>
        <v>17.32</v>
      </c>
      <c r="M499" s="38">
        <f>ROUND(K499*L499,2)</f>
        <v>5.2</v>
      </c>
    </row>
    <row r="500" spans="1:13">
      <c r="A500" s="52"/>
      <c r="B500" s="52"/>
      <c r="C500" s="52"/>
      <c r="D500" s="53" t="s">
        <v>778</v>
      </c>
      <c r="E500" s="52"/>
      <c r="F500" s="52"/>
      <c r="G500" s="52"/>
      <c r="H500" s="52"/>
      <c r="I500" s="52"/>
      <c r="J500" s="52"/>
      <c r="K500" s="54">
        <v>1</v>
      </c>
      <c r="L500" s="55">
        <f>ROUND((M498+M499)*(1+M2/100),2)</f>
        <v>1111.26</v>
      </c>
      <c r="M500" s="55">
        <f>ROUND(K500*L500,2)</f>
        <v>1111.26</v>
      </c>
    </row>
    <row r="501" spans="1:13">
      <c r="A501" s="56" t="s">
        <v>923</v>
      </c>
      <c r="B501" s="57" t="s">
        <v>431</v>
      </c>
      <c r="C501" s="57" t="s">
        <v>3</v>
      </c>
      <c r="D501" s="58" t="s">
        <v>924</v>
      </c>
      <c r="E501" s="58"/>
      <c r="F501" s="58"/>
      <c r="G501" s="58"/>
      <c r="H501" s="58"/>
      <c r="I501" s="58"/>
      <c r="J501" s="58"/>
      <c r="K501" s="59">
        <f>ROUND(1,2)</f>
        <v>1</v>
      </c>
      <c r="L501" s="60">
        <f>L505</f>
        <v>1239.79</v>
      </c>
      <c r="M501" s="60">
        <f>ROUND(K501*L501,2)</f>
        <v>1239.79</v>
      </c>
    </row>
    <row r="502" spans="1:13" ht="45">
      <c r="A502" s="39"/>
      <c r="B502" s="39"/>
      <c r="C502" s="39"/>
      <c r="D502" s="36" t="s">
        <v>925</v>
      </c>
      <c r="E502" s="36"/>
      <c r="F502" s="36"/>
      <c r="G502" s="36"/>
      <c r="H502" s="36"/>
      <c r="I502" s="36"/>
      <c r="J502" s="36"/>
      <c r="K502" s="36"/>
      <c r="L502" s="36"/>
      <c r="M502" s="36"/>
    </row>
    <row r="503" spans="1:13">
      <c r="A503" s="35" t="s">
        <v>926</v>
      </c>
      <c r="B503" s="35" t="s">
        <v>451</v>
      </c>
      <c r="C503" s="35" t="s">
        <v>724</v>
      </c>
      <c r="D503" s="36" t="s">
        <v>927</v>
      </c>
      <c r="E503" s="36"/>
      <c r="F503" s="36"/>
      <c r="G503" s="36"/>
      <c r="H503" s="36"/>
      <c r="I503" s="36"/>
      <c r="J503" s="36"/>
      <c r="K503" s="37">
        <v>1</v>
      </c>
      <c r="L503" s="37">
        <f>ROUND(1195.02,3)</f>
        <v>1195.02</v>
      </c>
      <c r="M503" s="38">
        <f>ROUND(K503*L503,2)</f>
        <v>1195.02</v>
      </c>
    </row>
    <row r="504" spans="1:13">
      <c r="A504" s="35" t="s">
        <v>495</v>
      </c>
      <c r="B504" s="35" t="s">
        <v>455</v>
      </c>
      <c r="C504" s="35" t="s">
        <v>456</v>
      </c>
      <c r="D504" s="36" t="s">
        <v>496</v>
      </c>
      <c r="E504" s="36"/>
      <c r="F504" s="36"/>
      <c r="G504" s="36"/>
      <c r="H504" s="36"/>
      <c r="I504" s="36"/>
      <c r="J504" s="36"/>
      <c r="K504" s="37">
        <v>0.5</v>
      </c>
      <c r="L504" s="37">
        <f>ROUND(17.32,3)</f>
        <v>17.32</v>
      </c>
      <c r="M504" s="38">
        <f>ROUND(K504*L504,2)</f>
        <v>8.66</v>
      </c>
    </row>
    <row r="505" spans="1:13">
      <c r="A505" s="52"/>
      <c r="B505" s="52"/>
      <c r="C505" s="52"/>
      <c r="D505" s="53" t="s">
        <v>923</v>
      </c>
      <c r="E505" s="52"/>
      <c r="F505" s="52"/>
      <c r="G505" s="52"/>
      <c r="H505" s="52"/>
      <c r="I505" s="52"/>
      <c r="J505" s="52"/>
      <c r="K505" s="54">
        <v>1</v>
      </c>
      <c r="L505" s="55">
        <f>ROUND((M503+M504)*(1+M2/100),2)</f>
        <v>1239.79</v>
      </c>
      <c r="M505" s="55">
        <f>ROUND(K505*L505,2)</f>
        <v>1239.79</v>
      </c>
    </row>
    <row r="506" spans="1:13" ht="33.75">
      <c r="A506" s="56" t="s">
        <v>783</v>
      </c>
      <c r="B506" s="57" t="s">
        <v>431</v>
      </c>
      <c r="C506" s="57" t="s">
        <v>56</v>
      </c>
      <c r="D506" s="58" t="s">
        <v>759</v>
      </c>
      <c r="E506" s="58"/>
      <c r="F506" s="58"/>
      <c r="G506" s="58"/>
      <c r="H506" s="58"/>
      <c r="I506" s="58"/>
      <c r="J506" s="58"/>
      <c r="K506" s="59">
        <f>SUM(K509:K509)</f>
        <v>565</v>
      </c>
      <c r="L506" s="60">
        <f>L514</f>
        <v>1.49</v>
      </c>
      <c r="M506" s="60">
        <f>ROUND(K506*L506,2)</f>
        <v>841.85</v>
      </c>
    </row>
    <row r="507" spans="1:13" ht="67.5">
      <c r="A507" s="39"/>
      <c r="B507" s="39"/>
      <c r="C507" s="39"/>
      <c r="D507" s="36" t="s">
        <v>760</v>
      </c>
      <c r="E507" s="36"/>
      <c r="F507" s="36"/>
      <c r="G507" s="36"/>
      <c r="H507" s="36"/>
      <c r="I507" s="36"/>
      <c r="J507" s="36"/>
      <c r="K507" s="36"/>
      <c r="L507" s="36"/>
      <c r="M507" s="36"/>
    </row>
    <row r="508" spans="1:13">
      <c r="A508" s="39"/>
      <c r="B508" s="39"/>
      <c r="C508" s="39"/>
      <c r="D508" s="39"/>
      <c r="E508" s="40"/>
      <c r="F508" s="41" t="s">
        <v>434</v>
      </c>
      <c r="G508" s="41" t="s">
        <v>435</v>
      </c>
      <c r="H508" s="41" t="s">
        <v>436</v>
      </c>
      <c r="I508" s="41" t="s">
        <v>437</v>
      </c>
      <c r="J508" s="41" t="s">
        <v>438</v>
      </c>
      <c r="K508" s="41" t="s">
        <v>439</v>
      </c>
      <c r="L508" s="39"/>
      <c r="M508" s="39"/>
    </row>
    <row r="509" spans="1:13">
      <c r="A509" s="39"/>
      <c r="B509" s="39"/>
      <c r="C509" s="39"/>
      <c r="D509" s="42"/>
      <c r="E509" s="43" t="s">
        <v>761</v>
      </c>
      <c r="F509" s="44">
        <v>565</v>
      </c>
      <c r="G509" s="45"/>
      <c r="H509" s="45"/>
      <c r="I509" s="45"/>
      <c r="J509" s="46">
        <f>ROUND(F509,3)</f>
        <v>565</v>
      </c>
      <c r="K509" s="47">
        <f>SUM(J509:J509)</f>
        <v>565</v>
      </c>
      <c r="L509" s="39"/>
      <c r="M509" s="39"/>
    </row>
    <row r="510" spans="1:13" ht="22.5">
      <c r="A510" s="35" t="s">
        <v>762</v>
      </c>
      <c r="B510" s="35" t="s">
        <v>451</v>
      </c>
      <c r="C510" s="35" t="s">
        <v>56</v>
      </c>
      <c r="D510" s="36" t="s">
        <v>763</v>
      </c>
      <c r="E510" s="36"/>
      <c r="F510" s="36"/>
      <c r="G510" s="36"/>
      <c r="H510" s="36"/>
      <c r="I510" s="36"/>
      <c r="J510" s="36"/>
      <c r="K510" s="37">
        <v>1</v>
      </c>
      <c r="L510" s="37">
        <f>ROUND(0.77,3)</f>
        <v>0.77</v>
      </c>
      <c r="M510" s="38">
        <f>ROUND(K510*L510,2)</f>
        <v>0.77</v>
      </c>
    </row>
    <row r="511" spans="1:13">
      <c r="A511" s="35" t="s">
        <v>764</v>
      </c>
      <c r="B511" s="35" t="s">
        <v>455</v>
      </c>
      <c r="C511" s="35" t="s">
        <v>456</v>
      </c>
      <c r="D511" s="36" t="s">
        <v>765</v>
      </c>
      <c r="E511" s="36"/>
      <c r="F511" s="36"/>
      <c r="G511" s="36"/>
      <c r="H511" s="36"/>
      <c r="I511" s="36"/>
      <c r="J511" s="36"/>
      <c r="K511" s="37">
        <v>1.7000000000000001E-2</v>
      </c>
      <c r="L511" s="37">
        <f>ROUND(20.76,3)</f>
        <v>20.76</v>
      </c>
      <c r="M511" s="38">
        <f>ROUND(K511*L511,2)</f>
        <v>0.35</v>
      </c>
    </row>
    <row r="512" spans="1:13">
      <c r="A512" s="35" t="s">
        <v>766</v>
      </c>
      <c r="B512" s="35" t="s">
        <v>455</v>
      </c>
      <c r="C512" s="35" t="s">
        <v>456</v>
      </c>
      <c r="D512" s="36" t="s">
        <v>767</v>
      </c>
      <c r="E512" s="36"/>
      <c r="F512" s="36"/>
      <c r="G512" s="36"/>
      <c r="H512" s="36"/>
      <c r="I512" s="36"/>
      <c r="J512" s="36"/>
      <c r="K512" s="37">
        <v>1.7000000000000001E-2</v>
      </c>
      <c r="L512" s="37">
        <f>ROUND(17.71,3)</f>
        <v>17.71</v>
      </c>
      <c r="M512" s="38">
        <f>ROUND(K512*L512,2)</f>
        <v>0.3</v>
      </c>
    </row>
    <row r="513" spans="1:13">
      <c r="A513" s="35" t="s">
        <v>460</v>
      </c>
      <c r="B513" s="35"/>
      <c r="C513" s="35" t="s">
        <v>460</v>
      </c>
      <c r="D513" s="36" t="s">
        <v>461</v>
      </c>
      <c r="E513" s="36"/>
      <c r="F513" s="36"/>
      <c r="G513" s="36"/>
      <c r="H513" s="36"/>
      <c r="I513" s="36"/>
      <c r="J513" s="36"/>
      <c r="K513" s="37">
        <v>2</v>
      </c>
      <c r="L513" s="37">
        <f>ROUND(1.42,3)</f>
        <v>1.42</v>
      </c>
      <c r="M513" s="38">
        <f>ROUND((K513*L513)/100,2)</f>
        <v>0.03</v>
      </c>
    </row>
    <row r="514" spans="1:13">
      <c r="A514" s="52"/>
      <c r="B514" s="52"/>
      <c r="C514" s="52"/>
      <c r="D514" s="53" t="s">
        <v>783</v>
      </c>
      <c r="E514" s="52"/>
      <c r="F514" s="52"/>
      <c r="G514" s="52"/>
      <c r="H514" s="52"/>
      <c r="I514" s="52"/>
      <c r="J514" s="52"/>
      <c r="K514" s="54">
        <v>565</v>
      </c>
      <c r="L514" s="55">
        <f>ROUND((M510+M511+M512+M513)*(1+M2/100),2)</f>
        <v>1.49</v>
      </c>
      <c r="M514" s="55">
        <f>ROUND(K514*L514,2)</f>
        <v>841.85</v>
      </c>
    </row>
    <row r="515" spans="1:13" ht="33.75">
      <c r="A515" s="56" t="s">
        <v>784</v>
      </c>
      <c r="B515" s="57" t="s">
        <v>431</v>
      </c>
      <c r="C515" s="57" t="s">
        <v>56</v>
      </c>
      <c r="D515" s="58" t="s">
        <v>769</v>
      </c>
      <c r="E515" s="58"/>
      <c r="F515" s="58"/>
      <c r="G515" s="58"/>
      <c r="H515" s="58"/>
      <c r="I515" s="58"/>
      <c r="J515" s="58"/>
      <c r="K515" s="59">
        <f>SUM(K518:K518)</f>
        <v>452</v>
      </c>
      <c r="L515" s="60">
        <f>L523</f>
        <v>4</v>
      </c>
      <c r="M515" s="60">
        <f>ROUND(K515*L515,2)</f>
        <v>1808</v>
      </c>
    </row>
    <row r="516" spans="1:13" ht="67.5">
      <c r="A516" s="39"/>
      <c r="B516" s="39"/>
      <c r="C516" s="39"/>
      <c r="D516" s="36" t="s">
        <v>770</v>
      </c>
      <c r="E516" s="36"/>
      <c r="F516" s="36"/>
      <c r="G516" s="36"/>
      <c r="H516" s="36"/>
      <c r="I516" s="36"/>
      <c r="J516" s="36"/>
      <c r="K516" s="36"/>
      <c r="L516" s="36"/>
      <c r="M516" s="36"/>
    </row>
    <row r="517" spans="1:13">
      <c r="A517" s="39"/>
      <c r="B517" s="39"/>
      <c r="C517" s="39"/>
      <c r="D517" s="39"/>
      <c r="E517" s="40"/>
      <c r="F517" s="41" t="s">
        <v>434</v>
      </c>
      <c r="G517" s="41" t="s">
        <v>435</v>
      </c>
      <c r="H517" s="41" t="s">
        <v>436</v>
      </c>
      <c r="I517" s="41" t="s">
        <v>437</v>
      </c>
      <c r="J517" s="41" t="s">
        <v>438</v>
      </c>
      <c r="K517" s="41" t="s">
        <v>439</v>
      </c>
      <c r="L517" s="39"/>
      <c r="M517" s="39"/>
    </row>
    <row r="518" spans="1:13" ht="22.5">
      <c r="A518" s="39"/>
      <c r="B518" s="39"/>
      <c r="C518" s="39"/>
      <c r="D518" s="42"/>
      <c r="E518" s="43" t="s">
        <v>771</v>
      </c>
      <c r="F518" s="44">
        <v>452</v>
      </c>
      <c r="G518" s="45"/>
      <c r="H518" s="45"/>
      <c r="I518" s="45"/>
      <c r="J518" s="46">
        <f>ROUND(F518,3)</f>
        <v>452</v>
      </c>
      <c r="K518" s="47">
        <f>SUM(J518:J518)</f>
        <v>452</v>
      </c>
      <c r="L518" s="39"/>
      <c r="M518" s="39"/>
    </row>
    <row r="519" spans="1:13" ht="33.75">
      <c r="A519" s="35" t="s">
        <v>772</v>
      </c>
      <c r="B519" s="35" t="s">
        <v>451</v>
      </c>
      <c r="C519" s="35" t="s">
        <v>56</v>
      </c>
      <c r="D519" s="36" t="s">
        <v>773</v>
      </c>
      <c r="E519" s="36"/>
      <c r="F519" s="36"/>
      <c r="G519" s="36"/>
      <c r="H519" s="36"/>
      <c r="I519" s="36"/>
      <c r="J519" s="36"/>
      <c r="K519" s="37">
        <v>1</v>
      </c>
      <c r="L519" s="37">
        <f>ROUND(3.16,3)</f>
        <v>3.16</v>
      </c>
      <c r="M519" s="38">
        <f>ROUND(K519*L519,2)</f>
        <v>3.16</v>
      </c>
    </row>
    <row r="520" spans="1:13">
      <c r="A520" s="35" t="s">
        <v>493</v>
      </c>
      <c r="B520" s="35" t="s">
        <v>455</v>
      </c>
      <c r="C520" s="35" t="s">
        <v>456</v>
      </c>
      <c r="D520" s="36" t="s">
        <v>494</v>
      </c>
      <c r="E520" s="36"/>
      <c r="F520" s="36"/>
      <c r="G520" s="36"/>
      <c r="H520" s="36"/>
      <c r="I520" s="36"/>
      <c r="J520" s="36"/>
      <c r="K520" s="37">
        <v>1.7000000000000001E-2</v>
      </c>
      <c r="L520" s="37">
        <f>ROUND(20.33,3)</f>
        <v>20.329999999999998</v>
      </c>
      <c r="M520" s="38">
        <f>ROUND(K520*L520,2)</f>
        <v>0.35</v>
      </c>
    </row>
    <row r="521" spans="1:13">
      <c r="A521" s="35" t="s">
        <v>495</v>
      </c>
      <c r="B521" s="35" t="s">
        <v>455</v>
      </c>
      <c r="C521" s="35" t="s">
        <v>456</v>
      </c>
      <c r="D521" s="36" t="s">
        <v>496</v>
      </c>
      <c r="E521" s="36"/>
      <c r="F521" s="36"/>
      <c r="G521" s="36"/>
      <c r="H521" s="36"/>
      <c r="I521" s="36"/>
      <c r="J521" s="36"/>
      <c r="K521" s="37">
        <v>1.7000000000000001E-2</v>
      </c>
      <c r="L521" s="37">
        <f>ROUND(17.32,3)</f>
        <v>17.32</v>
      </c>
      <c r="M521" s="38">
        <f>ROUND(K521*L521,2)</f>
        <v>0.28999999999999998</v>
      </c>
    </row>
    <row r="522" spans="1:13">
      <c r="A522" s="35" t="s">
        <v>460</v>
      </c>
      <c r="B522" s="35"/>
      <c r="C522" s="35" t="s">
        <v>460</v>
      </c>
      <c r="D522" s="36" t="s">
        <v>461</v>
      </c>
      <c r="E522" s="36"/>
      <c r="F522" s="36"/>
      <c r="G522" s="36"/>
      <c r="H522" s="36"/>
      <c r="I522" s="36"/>
      <c r="J522" s="36"/>
      <c r="K522" s="37">
        <v>2</v>
      </c>
      <c r="L522" s="37">
        <f>ROUND(3.8,3)</f>
        <v>3.8</v>
      </c>
      <c r="M522" s="38">
        <f>ROUND((K522*L522)/100,2)</f>
        <v>0.08</v>
      </c>
    </row>
    <row r="523" spans="1:13">
      <c r="A523" s="52"/>
      <c r="B523" s="52"/>
      <c r="C523" s="52"/>
      <c r="D523" s="53" t="s">
        <v>784</v>
      </c>
      <c r="E523" s="52"/>
      <c r="F523" s="52"/>
      <c r="G523" s="52"/>
      <c r="H523" s="52"/>
      <c r="I523" s="52"/>
      <c r="J523" s="52"/>
      <c r="K523" s="54">
        <v>452</v>
      </c>
      <c r="L523" s="55">
        <f>ROUND((M519+M520+M521+M522)*(1+M2/100),2)</f>
        <v>4</v>
      </c>
      <c r="M523" s="55">
        <f>ROUND(K523*L523,2)</f>
        <v>1808</v>
      </c>
    </row>
    <row r="524" spans="1:13" ht="22.5">
      <c r="A524" s="56" t="s">
        <v>785</v>
      </c>
      <c r="B524" s="57" t="s">
        <v>431</v>
      </c>
      <c r="C524" s="57" t="s">
        <v>422</v>
      </c>
      <c r="D524" s="58" t="s">
        <v>786</v>
      </c>
      <c r="E524" s="58"/>
      <c r="F524" s="58"/>
      <c r="G524" s="58"/>
      <c r="H524" s="58"/>
      <c r="I524" s="58"/>
      <c r="J524" s="58"/>
      <c r="K524" s="59">
        <f>SUM(K527:K530)</f>
        <v>4</v>
      </c>
      <c r="L524" s="60">
        <f>L536</f>
        <v>26.74</v>
      </c>
      <c r="M524" s="60">
        <f>ROUND(K524*L524,2)</f>
        <v>106.96</v>
      </c>
    </row>
    <row r="525" spans="1:13" ht="67.5">
      <c r="A525" s="39"/>
      <c r="B525" s="39"/>
      <c r="C525" s="39"/>
      <c r="D525" s="36" t="s">
        <v>787</v>
      </c>
      <c r="E525" s="36"/>
      <c r="F525" s="36"/>
      <c r="G525" s="36"/>
      <c r="H525" s="36"/>
      <c r="I525" s="36"/>
      <c r="J525" s="36"/>
      <c r="K525" s="36"/>
      <c r="L525" s="36"/>
      <c r="M525" s="36"/>
    </row>
    <row r="526" spans="1:13">
      <c r="A526" s="39"/>
      <c r="B526" s="39"/>
      <c r="C526" s="39"/>
      <c r="D526" s="39"/>
      <c r="E526" s="40"/>
      <c r="F526" s="41" t="s">
        <v>434</v>
      </c>
      <c r="G526" s="41" t="s">
        <v>435</v>
      </c>
      <c r="H526" s="41" t="s">
        <v>436</v>
      </c>
      <c r="I526" s="41" t="s">
        <v>437</v>
      </c>
      <c r="J526" s="41" t="s">
        <v>438</v>
      </c>
      <c r="K526" s="41" t="s">
        <v>439</v>
      </c>
      <c r="L526" s="39"/>
      <c r="M526" s="39"/>
    </row>
    <row r="527" spans="1:13" ht="22.5">
      <c r="A527" s="39"/>
      <c r="B527" s="39"/>
      <c r="C527" s="39"/>
      <c r="D527" s="42"/>
      <c r="E527" s="43" t="s">
        <v>928</v>
      </c>
      <c r="F527" s="44">
        <v>1</v>
      </c>
      <c r="G527" s="45"/>
      <c r="H527" s="45"/>
      <c r="I527" s="45"/>
      <c r="J527" s="46">
        <f>ROUND(F527,3)</f>
        <v>1</v>
      </c>
      <c r="K527" s="48"/>
      <c r="L527" s="39"/>
      <c r="M527" s="39"/>
    </row>
    <row r="528" spans="1:13" ht="22.5">
      <c r="A528" s="39"/>
      <c r="B528" s="39"/>
      <c r="C528" s="39"/>
      <c r="D528" s="42"/>
      <c r="E528" s="35" t="s">
        <v>929</v>
      </c>
      <c r="F528" s="49">
        <v>1</v>
      </c>
      <c r="G528" s="37"/>
      <c r="H528" s="37"/>
      <c r="I528" s="37"/>
      <c r="J528" s="50">
        <f>ROUND(F528,3)</f>
        <v>1</v>
      </c>
      <c r="K528" s="39"/>
      <c r="L528" s="39"/>
      <c r="M528" s="39"/>
    </row>
    <row r="529" spans="1:13" ht="22.5">
      <c r="A529" s="39"/>
      <c r="B529" s="39"/>
      <c r="C529" s="39"/>
      <c r="D529" s="42"/>
      <c r="E529" s="35" t="s">
        <v>930</v>
      </c>
      <c r="F529" s="49">
        <v>1</v>
      </c>
      <c r="G529" s="37"/>
      <c r="H529" s="37"/>
      <c r="I529" s="37"/>
      <c r="J529" s="50">
        <f>ROUND(F529,3)</f>
        <v>1</v>
      </c>
      <c r="K529" s="39"/>
      <c r="L529" s="39"/>
      <c r="M529" s="39"/>
    </row>
    <row r="530" spans="1:13" ht="22.5">
      <c r="A530" s="39"/>
      <c r="B530" s="39"/>
      <c r="C530" s="39"/>
      <c r="D530" s="42"/>
      <c r="E530" s="35" t="s">
        <v>931</v>
      </c>
      <c r="F530" s="49">
        <v>1</v>
      </c>
      <c r="G530" s="37"/>
      <c r="H530" s="37"/>
      <c r="I530" s="37"/>
      <c r="J530" s="50">
        <f>ROUND(F530,3)</f>
        <v>1</v>
      </c>
      <c r="K530" s="51">
        <f>SUM(J527:J530)</f>
        <v>4</v>
      </c>
      <c r="L530" s="39"/>
      <c r="M530" s="39"/>
    </row>
    <row r="531" spans="1:13">
      <c r="A531" s="35" t="s">
        <v>789</v>
      </c>
      <c r="B531" s="35" t="s">
        <v>451</v>
      </c>
      <c r="C531" s="35" t="s">
        <v>422</v>
      </c>
      <c r="D531" s="36" t="s">
        <v>790</v>
      </c>
      <c r="E531" s="36"/>
      <c r="F531" s="36"/>
      <c r="G531" s="36"/>
      <c r="H531" s="36"/>
      <c r="I531" s="36"/>
      <c r="J531" s="36"/>
      <c r="K531" s="37">
        <v>1</v>
      </c>
      <c r="L531" s="37">
        <f>ROUND(11.49,3)</f>
        <v>11.49</v>
      </c>
      <c r="M531" s="38">
        <f>ROUND(K531*L531,2)</f>
        <v>11.49</v>
      </c>
    </row>
    <row r="532" spans="1:13">
      <c r="A532" s="35" t="s">
        <v>791</v>
      </c>
      <c r="B532" s="35" t="s">
        <v>451</v>
      </c>
      <c r="C532" s="35" t="s">
        <v>422</v>
      </c>
      <c r="D532" s="36" t="s">
        <v>792</v>
      </c>
      <c r="E532" s="36"/>
      <c r="F532" s="36"/>
      <c r="G532" s="36"/>
      <c r="H532" s="36"/>
      <c r="I532" s="36"/>
      <c r="J532" s="36"/>
      <c r="K532" s="37">
        <v>1</v>
      </c>
      <c r="L532" s="37">
        <f>ROUND(2.28,3)</f>
        <v>2.2799999999999998</v>
      </c>
      <c r="M532" s="38">
        <f>ROUND(K532*L532,2)</f>
        <v>2.2799999999999998</v>
      </c>
    </row>
    <row r="533" spans="1:13">
      <c r="A533" s="35" t="s">
        <v>793</v>
      </c>
      <c r="B533" s="35" t="s">
        <v>451</v>
      </c>
      <c r="C533" s="35" t="s">
        <v>422</v>
      </c>
      <c r="D533" s="36" t="s">
        <v>794</v>
      </c>
      <c r="E533" s="36"/>
      <c r="F533" s="36"/>
      <c r="G533" s="36"/>
      <c r="H533" s="36"/>
      <c r="I533" s="36"/>
      <c r="J533" s="36"/>
      <c r="K533" s="37">
        <v>1</v>
      </c>
      <c r="L533" s="37">
        <f>ROUND(6.54,3)</f>
        <v>6.54</v>
      </c>
      <c r="M533" s="38">
        <f>ROUND(K533*L533,2)</f>
        <v>6.54</v>
      </c>
    </row>
    <row r="534" spans="1:13">
      <c r="A534" s="35" t="s">
        <v>493</v>
      </c>
      <c r="B534" s="35" t="s">
        <v>455</v>
      </c>
      <c r="C534" s="35" t="s">
        <v>456</v>
      </c>
      <c r="D534" s="36" t="s">
        <v>494</v>
      </c>
      <c r="E534" s="36"/>
      <c r="F534" s="36"/>
      <c r="G534" s="36"/>
      <c r="H534" s="36"/>
      <c r="I534" s="36"/>
      <c r="J534" s="36"/>
      <c r="K534" s="37">
        <v>0.253</v>
      </c>
      <c r="L534" s="37">
        <f>ROUND(20.33,3)</f>
        <v>20.329999999999998</v>
      </c>
      <c r="M534" s="38">
        <f>ROUND(K534*L534,2)</f>
        <v>5.14</v>
      </c>
    </row>
    <row r="535" spans="1:13">
      <c r="A535" s="35" t="s">
        <v>460</v>
      </c>
      <c r="B535" s="35"/>
      <c r="C535" s="35" t="s">
        <v>460</v>
      </c>
      <c r="D535" s="36" t="s">
        <v>461</v>
      </c>
      <c r="E535" s="36"/>
      <c r="F535" s="36"/>
      <c r="G535" s="36"/>
      <c r="H535" s="36"/>
      <c r="I535" s="36"/>
      <c r="J535" s="36"/>
      <c r="K535" s="37">
        <v>2</v>
      </c>
      <c r="L535" s="37">
        <f>ROUND(25.45,3)</f>
        <v>25.45</v>
      </c>
      <c r="M535" s="38">
        <f>ROUND((K535*L535)/100,2)</f>
        <v>0.51</v>
      </c>
    </row>
    <row r="536" spans="1:13">
      <c r="A536" s="52"/>
      <c r="B536" s="52"/>
      <c r="C536" s="52"/>
      <c r="D536" s="53" t="s">
        <v>785</v>
      </c>
      <c r="E536" s="52"/>
      <c r="F536" s="52"/>
      <c r="G536" s="52"/>
      <c r="H536" s="52"/>
      <c r="I536" s="52"/>
      <c r="J536" s="52"/>
      <c r="K536" s="54">
        <v>4</v>
      </c>
      <c r="L536" s="55">
        <f>ROUND((M531+M532+M533+M534+M535)*(1+M2/100),2)</f>
        <v>26.74</v>
      </c>
      <c r="M536" s="55">
        <f>ROUND(K536*L536,2)</f>
        <v>106.96</v>
      </c>
    </row>
    <row r="537" spans="1:13">
      <c r="A537" s="56" t="s">
        <v>795</v>
      </c>
      <c r="B537" s="57" t="s">
        <v>431</v>
      </c>
      <c r="C537" s="57" t="s">
        <v>56</v>
      </c>
      <c r="D537" s="58" t="s">
        <v>796</v>
      </c>
      <c r="E537" s="58"/>
      <c r="F537" s="58"/>
      <c r="G537" s="58"/>
      <c r="H537" s="58"/>
      <c r="I537" s="58"/>
      <c r="J537" s="58"/>
      <c r="K537" s="59">
        <f>SUM(K540:K540)</f>
        <v>960</v>
      </c>
      <c r="L537" s="60">
        <f>L545</f>
        <v>9.5299999999999994</v>
      </c>
      <c r="M537" s="60">
        <f>ROUND(K537*L537,2)</f>
        <v>9148.7999999999993</v>
      </c>
    </row>
    <row r="538" spans="1:13" ht="56.25">
      <c r="A538" s="39"/>
      <c r="B538" s="39"/>
      <c r="C538" s="39"/>
      <c r="D538" s="36" t="s">
        <v>797</v>
      </c>
      <c r="E538" s="36"/>
      <c r="F538" s="36"/>
      <c r="G538" s="36"/>
      <c r="H538" s="36"/>
      <c r="I538" s="36"/>
      <c r="J538" s="36"/>
      <c r="K538" s="36"/>
      <c r="L538" s="36"/>
      <c r="M538" s="36"/>
    </row>
    <row r="539" spans="1:13">
      <c r="A539" s="39"/>
      <c r="B539" s="39"/>
      <c r="C539" s="39"/>
      <c r="D539" s="39"/>
      <c r="E539" s="40"/>
      <c r="F539" s="41" t="s">
        <v>434</v>
      </c>
      <c r="G539" s="41" t="s">
        <v>435</v>
      </c>
      <c r="H539" s="41" t="s">
        <v>436</v>
      </c>
      <c r="I539" s="41" t="s">
        <v>437</v>
      </c>
      <c r="J539" s="41" t="s">
        <v>438</v>
      </c>
      <c r="K539" s="41" t="s">
        <v>439</v>
      </c>
      <c r="L539" s="39"/>
      <c r="M539" s="39"/>
    </row>
    <row r="540" spans="1:13" ht="22.5">
      <c r="A540" s="39"/>
      <c r="B540" s="39"/>
      <c r="C540" s="39"/>
      <c r="D540" s="42"/>
      <c r="E540" s="43" t="s">
        <v>798</v>
      </c>
      <c r="F540" s="44">
        <v>960</v>
      </c>
      <c r="G540" s="45"/>
      <c r="H540" s="45"/>
      <c r="I540" s="45"/>
      <c r="J540" s="46">
        <f>ROUND(F540,3)</f>
        <v>960</v>
      </c>
      <c r="K540" s="47">
        <f>SUM(J540:J540)</f>
        <v>960</v>
      </c>
      <c r="L540" s="39"/>
      <c r="M540" s="39"/>
    </row>
    <row r="541" spans="1:13">
      <c r="A541" s="35" t="s">
        <v>799</v>
      </c>
      <c r="B541" s="35" t="s">
        <v>451</v>
      </c>
      <c r="C541" s="35" t="s">
        <v>56</v>
      </c>
      <c r="D541" s="36" t="s">
        <v>800</v>
      </c>
      <c r="E541" s="36"/>
      <c r="F541" s="36"/>
      <c r="G541" s="36"/>
      <c r="H541" s="36"/>
      <c r="I541" s="36"/>
      <c r="J541" s="36"/>
      <c r="K541" s="37">
        <v>1</v>
      </c>
      <c r="L541" s="37">
        <f>ROUND(7,3)</f>
        <v>7</v>
      </c>
      <c r="M541" s="38">
        <f>ROUND(K541*L541,2)</f>
        <v>7</v>
      </c>
    </row>
    <row r="542" spans="1:13">
      <c r="A542" s="35" t="s">
        <v>527</v>
      </c>
      <c r="B542" s="35" t="s">
        <v>455</v>
      </c>
      <c r="C542" s="35" t="s">
        <v>456</v>
      </c>
      <c r="D542" s="36" t="s">
        <v>528</v>
      </c>
      <c r="E542" s="36"/>
      <c r="F542" s="36"/>
      <c r="G542" s="36"/>
      <c r="H542" s="36"/>
      <c r="I542" s="36"/>
      <c r="J542" s="36"/>
      <c r="K542" s="37">
        <v>5.5E-2</v>
      </c>
      <c r="L542" s="37">
        <f>ROUND(20.33,3)</f>
        <v>20.329999999999998</v>
      </c>
      <c r="M542" s="38">
        <f>ROUND(K542*L542,2)</f>
        <v>1.1200000000000001</v>
      </c>
    </row>
    <row r="543" spans="1:13">
      <c r="A543" s="35" t="s">
        <v>529</v>
      </c>
      <c r="B543" s="35" t="s">
        <v>455</v>
      </c>
      <c r="C543" s="35" t="s">
        <v>456</v>
      </c>
      <c r="D543" s="36" t="s">
        <v>530</v>
      </c>
      <c r="E543" s="36"/>
      <c r="F543" s="36"/>
      <c r="G543" s="36"/>
      <c r="H543" s="36"/>
      <c r="I543" s="36"/>
      <c r="J543" s="36"/>
      <c r="K543" s="37">
        <v>5.5E-2</v>
      </c>
      <c r="L543" s="37">
        <f>ROUND(17.32,3)</f>
        <v>17.32</v>
      </c>
      <c r="M543" s="38">
        <f>ROUND(K543*L543,2)</f>
        <v>0.95</v>
      </c>
    </row>
    <row r="544" spans="1:13">
      <c r="A544" s="35" t="s">
        <v>460</v>
      </c>
      <c r="B544" s="35"/>
      <c r="C544" s="35" t="s">
        <v>460</v>
      </c>
      <c r="D544" s="36" t="s">
        <v>461</v>
      </c>
      <c r="E544" s="36"/>
      <c r="F544" s="36"/>
      <c r="G544" s="36"/>
      <c r="H544" s="36"/>
      <c r="I544" s="36"/>
      <c r="J544" s="36"/>
      <c r="K544" s="37">
        <v>2</v>
      </c>
      <c r="L544" s="37">
        <f>ROUND(9.07,3)</f>
        <v>9.07</v>
      </c>
      <c r="M544" s="38">
        <f>ROUND((K544*L544)/100,2)</f>
        <v>0.18</v>
      </c>
    </row>
    <row r="545" spans="1:13">
      <c r="A545" s="52"/>
      <c r="B545" s="52"/>
      <c r="C545" s="52"/>
      <c r="D545" s="53" t="s">
        <v>795</v>
      </c>
      <c r="E545" s="52"/>
      <c r="F545" s="52"/>
      <c r="G545" s="52"/>
      <c r="H545" s="52"/>
      <c r="I545" s="52"/>
      <c r="J545" s="52"/>
      <c r="K545" s="54">
        <v>960</v>
      </c>
      <c r="L545" s="55">
        <f>ROUND((M541+M542+M543+M544)*(1+M2/100),2)</f>
        <v>9.5299999999999994</v>
      </c>
      <c r="M545" s="55">
        <f>ROUND(K545*L545,2)</f>
        <v>9148.7999999999993</v>
      </c>
    </row>
    <row r="546" spans="1:13">
      <c r="A546" s="79"/>
      <c r="B546" s="79"/>
      <c r="C546" s="79"/>
      <c r="D546" s="83" t="s">
        <v>71</v>
      </c>
      <c r="E546" s="84"/>
      <c r="F546" s="84"/>
      <c r="G546" s="84"/>
      <c r="H546" s="84"/>
      <c r="I546" s="84"/>
      <c r="J546" s="84"/>
      <c r="K546" s="84"/>
      <c r="L546" s="85">
        <f>M402+M403+M407+M411+M415+M419+M428+M432+M436+M441+M446+M451+M456+M461+M466+M471+M476+M481+M486+M491+M496+M501+M506+M515+M524+M537</f>
        <v>52633.429999999993</v>
      </c>
      <c r="M546" s="85">
        <f>ROUND(L546,2)</f>
        <v>52633.43</v>
      </c>
    </row>
    <row r="547" spans="1:13">
      <c r="A547" s="79"/>
      <c r="B547" s="79"/>
      <c r="C547" s="79"/>
      <c r="D547" s="86" t="s">
        <v>802</v>
      </c>
      <c r="E547" s="87"/>
      <c r="F547" s="87"/>
      <c r="G547" s="87"/>
      <c r="H547" s="87"/>
      <c r="I547" s="87"/>
      <c r="J547" s="87"/>
      <c r="K547" s="87"/>
      <c r="L547" s="88">
        <f>M152+M399+M546</f>
        <v>204878.88999999998</v>
      </c>
      <c r="M547" s="88">
        <f>ROUND(L547,2)</f>
        <v>204878.89</v>
      </c>
    </row>
  </sheetData>
  <pageMargins left="0.62007900000000005" right="0.472441" top="0.472441" bottom="0.472441" header="0" footer="0"/>
  <pageSetup paperSize="9" orientation="landscape" r:id="rId1"/>
  <rowBreaks count="2" manualBreakCount="2">
    <brk max="16383" man="1"/>
    <brk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DAF0F-D2D4-41BB-98AE-749B16F0790B}">
  <dimension ref="A1:M576"/>
  <sheetViews>
    <sheetView topLeftCell="A558" workbookViewId="0">
      <selection activeCell="D35" sqref="D35"/>
    </sheetView>
  </sheetViews>
  <sheetFormatPr baseColWidth="10" defaultRowHeight="15"/>
  <cols>
    <col min="1" max="1" width="10.5703125" style="19" customWidth="1"/>
    <col min="2" max="2" width="9.42578125" style="19" customWidth="1"/>
    <col min="3" max="3" width="4.42578125" style="19" customWidth="1"/>
    <col min="4" max="4" width="92.5703125" style="19" customWidth="1"/>
    <col min="5" max="5" width="14.7109375" style="19" customWidth="1"/>
    <col min="6" max="7" width="8" style="19" customWidth="1"/>
    <col min="8" max="8" width="8.140625" style="19" customWidth="1"/>
    <col min="9" max="9" width="7" style="19" customWidth="1"/>
    <col min="10" max="10" width="8.85546875" style="19" customWidth="1"/>
    <col min="11" max="11" width="11.7109375" style="19" customWidth="1"/>
    <col min="12" max="12" width="11.5703125" style="19" customWidth="1"/>
    <col min="13" max="13" width="11.7109375" style="19" customWidth="1"/>
    <col min="14" max="16384" width="11.42578125" style="19"/>
  </cols>
  <sheetData>
    <row r="1" spans="1:13">
      <c r="A1" s="17" t="s">
        <v>416</v>
      </c>
      <c r="B1" s="89" t="s">
        <v>950</v>
      </c>
      <c r="C1" s="18"/>
      <c r="D1" s="18"/>
      <c r="E1" s="18"/>
      <c r="F1" s="18"/>
      <c r="G1" s="18"/>
      <c r="H1" s="18"/>
      <c r="I1" s="18"/>
      <c r="J1" s="18"/>
      <c r="K1" s="18"/>
      <c r="L1" s="18"/>
      <c r="M1" s="18"/>
    </row>
    <row r="2" spans="1:13" ht="25.5">
      <c r="A2" s="18" t="s">
        <v>418</v>
      </c>
      <c r="B2" s="18"/>
      <c r="C2" s="18"/>
      <c r="D2" s="20"/>
      <c r="E2" s="20"/>
      <c r="F2" s="20"/>
      <c r="G2" s="20"/>
      <c r="H2" s="20"/>
      <c r="I2" s="20"/>
      <c r="J2" s="20"/>
      <c r="K2" s="20"/>
      <c r="L2" s="21" t="s">
        <v>419</v>
      </c>
      <c r="M2" s="22">
        <v>3</v>
      </c>
    </row>
    <row r="3" spans="1:13">
      <c r="A3" s="23" t="s">
        <v>420</v>
      </c>
      <c r="B3" s="23" t="s">
        <v>421</v>
      </c>
      <c r="C3" s="23" t="s">
        <v>422</v>
      </c>
      <c r="D3" s="23" t="s">
        <v>423</v>
      </c>
      <c r="E3" s="24"/>
      <c r="F3" s="24"/>
      <c r="G3" s="24"/>
      <c r="H3" s="24"/>
      <c r="I3" s="24"/>
      <c r="J3" s="24"/>
      <c r="K3" s="25" t="s">
        <v>424</v>
      </c>
      <c r="L3" s="25" t="s">
        <v>425</v>
      </c>
      <c r="M3" s="25" t="s">
        <v>426</v>
      </c>
    </row>
    <row r="4" spans="1:13" ht="33.75">
      <c r="A4" s="26" t="s">
        <v>951</v>
      </c>
      <c r="B4" s="26" t="s">
        <v>428</v>
      </c>
      <c r="C4" s="27"/>
      <c r="D4" s="28" t="s">
        <v>950</v>
      </c>
      <c r="E4" s="28"/>
      <c r="F4" s="28"/>
      <c r="G4" s="28"/>
      <c r="H4" s="28"/>
      <c r="I4" s="28"/>
      <c r="J4" s="28"/>
      <c r="K4" s="27"/>
      <c r="L4" s="29">
        <f>L576</f>
        <v>165591.28</v>
      </c>
      <c r="M4" s="29">
        <f>ROUND(L4,2)</f>
        <v>165591.28</v>
      </c>
    </row>
    <row r="5" spans="1:13">
      <c r="A5" s="30" t="s">
        <v>14</v>
      </c>
      <c r="B5" s="30" t="s">
        <v>428</v>
      </c>
      <c r="C5" s="31"/>
      <c r="D5" s="32" t="s">
        <v>952</v>
      </c>
      <c r="E5" s="32"/>
      <c r="F5" s="32"/>
      <c r="G5" s="32"/>
      <c r="H5" s="32"/>
      <c r="I5" s="32"/>
      <c r="J5" s="32"/>
      <c r="K5" s="31"/>
      <c r="L5" s="33">
        <f>L144</f>
        <v>54467.41</v>
      </c>
      <c r="M5" s="33">
        <f>ROUND(L5,2)</f>
        <v>54467.41</v>
      </c>
    </row>
    <row r="6" spans="1:13" ht="22.5">
      <c r="A6" s="34" t="s">
        <v>803</v>
      </c>
      <c r="B6" s="35" t="s">
        <v>431</v>
      </c>
      <c r="C6" s="35" t="s">
        <v>3</v>
      </c>
      <c r="D6" s="36" t="s">
        <v>804</v>
      </c>
      <c r="E6" s="36"/>
      <c r="F6" s="36"/>
      <c r="G6" s="36"/>
      <c r="H6" s="36"/>
      <c r="I6" s="36"/>
      <c r="J6" s="36"/>
      <c r="K6" s="37">
        <f>SUM(K9:K9)</f>
        <v>1</v>
      </c>
      <c r="L6" s="38">
        <f>ROUND(4434.951*(1+M2/100),2)</f>
        <v>4568</v>
      </c>
      <c r="M6" s="38">
        <f>ROUND(K6*L6,2)</f>
        <v>4568</v>
      </c>
    </row>
    <row r="7" spans="1:13" ht="56.25">
      <c r="A7" s="39"/>
      <c r="B7" s="39"/>
      <c r="C7" s="39"/>
      <c r="D7" s="36" t="s">
        <v>805</v>
      </c>
      <c r="E7" s="36"/>
      <c r="F7" s="36"/>
      <c r="G7" s="36"/>
      <c r="H7" s="36"/>
      <c r="I7" s="36"/>
      <c r="J7" s="36"/>
      <c r="K7" s="36"/>
      <c r="L7" s="36"/>
      <c r="M7" s="36"/>
    </row>
    <row r="8" spans="1:13">
      <c r="A8" s="39"/>
      <c r="B8" s="39"/>
      <c r="C8" s="39"/>
      <c r="D8" s="39"/>
      <c r="E8" s="40"/>
      <c r="F8" s="41" t="s">
        <v>434</v>
      </c>
      <c r="G8" s="41" t="s">
        <v>435</v>
      </c>
      <c r="H8" s="41" t="s">
        <v>436</v>
      </c>
      <c r="I8" s="41" t="s">
        <v>437</v>
      </c>
      <c r="J8" s="41" t="s">
        <v>438</v>
      </c>
      <c r="K8" s="41" t="s">
        <v>439</v>
      </c>
      <c r="L8" s="39"/>
      <c r="M8" s="39"/>
    </row>
    <row r="9" spans="1:13">
      <c r="A9" s="39"/>
      <c r="B9" s="39"/>
      <c r="C9" s="39"/>
      <c r="D9" s="42"/>
      <c r="E9" s="43"/>
      <c r="F9" s="44">
        <v>1</v>
      </c>
      <c r="G9" s="45"/>
      <c r="H9" s="45"/>
      <c r="I9" s="45"/>
      <c r="J9" s="46">
        <f>ROUND(F9,3)</f>
        <v>1</v>
      </c>
      <c r="K9" s="47">
        <f>SUM(J9:J9)</f>
        <v>1</v>
      </c>
      <c r="L9" s="39"/>
      <c r="M9" s="39"/>
    </row>
    <row r="10" spans="1:13">
      <c r="A10" s="34" t="s">
        <v>446</v>
      </c>
      <c r="B10" s="35" t="s">
        <v>431</v>
      </c>
      <c r="C10" s="35" t="s">
        <v>422</v>
      </c>
      <c r="D10" s="36" t="s">
        <v>447</v>
      </c>
      <c r="E10" s="36"/>
      <c r="F10" s="36"/>
      <c r="G10" s="36"/>
      <c r="H10" s="36"/>
      <c r="I10" s="36"/>
      <c r="J10" s="36"/>
      <c r="K10" s="37">
        <f>SUM(K13:K13)</f>
        <v>4</v>
      </c>
      <c r="L10" s="38">
        <f>L19</f>
        <v>76.239999999999995</v>
      </c>
      <c r="M10" s="38">
        <f>ROUND(K10*L10,2)</f>
        <v>304.95999999999998</v>
      </c>
    </row>
    <row r="11" spans="1:13" ht="56.25">
      <c r="A11" s="39"/>
      <c r="B11" s="39"/>
      <c r="C11" s="39"/>
      <c r="D11" s="36" t="s">
        <v>448</v>
      </c>
      <c r="E11" s="36"/>
      <c r="F11" s="36"/>
      <c r="G11" s="36"/>
      <c r="H11" s="36"/>
      <c r="I11" s="36"/>
      <c r="J11" s="36"/>
      <c r="K11" s="36"/>
      <c r="L11" s="36"/>
      <c r="M11" s="36"/>
    </row>
    <row r="12" spans="1:13">
      <c r="A12" s="39"/>
      <c r="B12" s="39"/>
      <c r="C12" s="39"/>
      <c r="D12" s="39"/>
      <c r="E12" s="40"/>
      <c r="F12" s="41" t="s">
        <v>434</v>
      </c>
      <c r="G12" s="41" t="s">
        <v>435</v>
      </c>
      <c r="H12" s="41" t="s">
        <v>436</v>
      </c>
      <c r="I12" s="41" t="s">
        <v>437</v>
      </c>
      <c r="J12" s="41" t="s">
        <v>438</v>
      </c>
      <c r="K12" s="41" t="s">
        <v>439</v>
      </c>
      <c r="L12" s="39"/>
      <c r="M12" s="39"/>
    </row>
    <row r="13" spans="1:13">
      <c r="A13" s="39"/>
      <c r="B13" s="39"/>
      <c r="C13" s="39"/>
      <c r="D13" s="42"/>
      <c r="E13" s="43"/>
      <c r="F13" s="44">
        <v>4</v>
      </c>
      <c r="G13" s="45"/>
      <c r="H13" s="45"/>
      <c r="I13" s="45"/>
      <c r="J13" s="46">
        <f>ROUND(F13,3)</f>
        <v>4</v>
      </c>
      <c r="K13" s="47">
        <f>SUM(J13:J13)</f>
        <v>4</v>
      </c>
      <c r="L13" s="39"/>
      <c r="M13" s="39"/>
    </row>
    <row r="14" spans="1:13">
      <c r="A14" s="35" t="s">
        <v>450</v>
      </c>
      <c r="B14" s="35" t="s">
        <v>451</v>
      </c>
      <c r="C14" s="35" t="s">
        <v>422</v>
      </c>
      <c r="D14" s="36" t="s">
        <v>447</v>
      </c>
      <c r="E14" s="36"/>
      <c r="F14" s="36"/>
      <c r="G14" s="36"/>
      <c r="H14" s="36"/>
      <c r="I14" s="36"/>
      <c r="J14" s="36"/>
      <c r="K14" s="37">
        <v>1</v>
      </c>
      <c r="L14" s="37">
        <f>ROUND(68.63,3)</f>
        <v>68.63</v>
      </c>
      <c r="M14" s="38">
        <f>ROUND(K14*L14,2)</f>
        <v>68.63</v>
      </c>
    </row>
    <row r="15" spans="1:13" ht="22.5">
      <c r="A15" s="35" t="s">
        <v>452</v>
      </c>
      <c r="B15" s="35" t="s">
        <v>451</v>
      </c>
      <c r="C15" s="35" t="s">
        <v>422</v>
      </c>
      <c r="D15" s="36" t="s">
        <v>453</v>
      </c>
      <c r="E15" s="36"/>
      <c r="F15" s="36"/>
      <c r="G15" s="36"/>
      <c r="H15" s="36"/>
      <c r="I15" s="36"/>
      <c r="J15" s="36"/>
      <c r="K15" s="37">
        <v>0.1</v>
      </c>
      <c r="L15" s="37">
        <f>ROUND(2.1,3)</f>
        <v>2.1</v>
      </c>
      <c r="M15" s="38">
        <f>ROUND(K15*L15,2)</f>
        <v>0.21</v>
      </c>
    </row>
    <row r="16" spans="1:13">
      <c r="A16" s="35" t="s">
        <v>454</v>
      </c>
      <c r="B16" s="35" t="s">
        <v>455</v>
      </c>
      <c r="C16" s="35" t="s">
        <v>456</v>
      </c>
      <c r="D16" s="36" t="s">
        <v>457</v>
      </c>
      <c r="E16" s="36"/>
      <c r="F16" s="36"/>
      <c r="G16" s="36"/>
      <c r="H16" s="36"/>
      <c r="I16" s="36"/>
      <c r="J16" s="36"/>
      <c r="K16" s="37">
        <v>0.11</v>
      </c>
      <c r="L16" s="37">
        <f>ROUND(17.82,3)</f>
        <v>17.82</v>
      </c>
      <c r="M16" s="38">
        <f>ROUND(K16*L16,2)</f>
        <v>1.96</v>
      </c>
    </row>
    <row r="17" spans="1:13">
      <c r="A17" s="35" t="s">
        <v>458</v>
      </c>
      <c r="B17" s="35" t="s">
        <v>455</v>
      </c>
      <c r="C17" s="35" t="s">
        <v>456</v>
      </c>
      <c r="D17" s="36" t="s">
        <v>459</v>
      </c>
      <c r="E17" s="36"/>
      <c r="F17" s="36"/>
      <c r="G17" s="36"/>
      <c r="H17" s="36"/>
      <c r="I17" s="36"/>
      <c r="J17" s="36"/>
      <c r="K17" s="37">
        <v>0.11</v>
      </c>
      <c r="L17" s="37">
        <f>ROUND(16.1,3)</f>
        <v>16.100000000000001</v>
      </c>
      <c r="M17" s="38">
        <f>ROUND(K17*L17,2)</f>
        <v>1.77</v>
      </c>
    </row>
    <row r="18" spans="1:13">
      <c r="A18" s="35" t="s">
        <v>460</v>
      </c>
      <c r="B18" s="35"/>
      <c r="C18" s="35" t="s">
        <v>460</v>
      </c>
      <c r="D18" s="36" t="s">
        <v>461</v>
      </c>
      <c r="E18" s="36"/>
      <c r="F18" s="36"/>
      <c r="G18" s="36"/>
      <c r="H18" s="36"/>
      <c r="I18" s="36"/>
      <c r="J18" s="36"/>
      <c r="K18" s="37">
        <v>2</v>
      </c>
      <c r="L18" s="37">
        <f>ROUND(72.57,3)</f>
        <v>72.569999999999993</v>
      </c>
      <c r="M18" s="38">
        <f>ROUND((K18*L18)/100,2)</f>
        <v>1.45</v>
      </c>
    </row>
    <row r="19" spans="1:13">
      <c r="A19" s="52"/>
      <c r="B19" s="52"/>
      <c r="C19" s="52"/>
      <c r="D19" s="53" t="s">
        <v>446</v>
      </c>
      <c r="E19" s="52"/>
      <c r="F19" s="52"/>
      <c r="G19" s="52"/>
      <c r="H19" s="52"/>
      <c r="I19" s="52"/>
      <c r="J19" s="52"/>
      <c r="K19" s="54">
        <v>4</v>
      </c>
      <c r="L19" s="55">
        <f>ROUND((M14+M15+M16+M17+M18)*(1+M2/100),2)</f>
        <v>76.239999999999995</v>
      </c>
      <c r="M19" s="55">
        <f>ROUND(K19*L19,2)</f>
        <v>304.95999999999998</v>
      </c>
    </row>
    <row r="20" spans="1:13" ht="78.75">
      <c r="A20" s="56" t="s">
        <v>953</v>
      </c>
      <c r="B20" s="57" t="s">
        <v>431</v>
      </c>
      <c r="C20" s="57" t="s">
        <v>56</v>
      </c>
      <c r="D20" s="58" t="s">
        <v>954</v>
      </c>
      <c r="E20" s="58"/>
      <c r="F20" s="58"/>
      <c r="G20" s="58"/>
      <c r="H20" s="58"/>
      <c r="I20" s="58"/>
      <c r="J20" s="58"/>
      <c r="K20" s="59">
        <f>SUM(K23:K23)</f>
        <v>90.72</v>
      </c>
      <c r="L20" s="60">
        <f>L29</f>
        <v>154.85</v>
      </c>
      <c r="M20" s="60">
        <f>ROUND(K20*L20,2)</f>
        <v>14047.99</v>
      </c>
    </row>
    <row r="21" spans="1:13" ht="56.25">
      <c r="A21" s="39"/>
      <c r="B21" s="39"/>
      <c r="C21" s="39"/>
      <c r="D21" s="36" t="s">
        <v>955</v>
      </c>
      <c r="E21" s="36"/>
      <c r="F21" s="36"/>
      <c r="G21" s="36"/>
      <c r="H21" s="36"/>
      <c r="I21" s="36"/>
      <c r="J21" s="36"/>
      <c r="K21" s="36"/>
      <c r="L21" s="36"/>
      <c r="M21" s="36"/>
    </row>
    <row r="22" spans="1:13">
      <c r="A22" s="39"/>
      <c r="B22" s="39"/>
      <c r="C22" s="39"/>
      <c r="D22" s="39"/>
      <c r="E22" s="40"/>
      <c r="F22" s="41" t="s">
        <v>434</v>
      </c>
      <c r="G22" s="41" t="s">
        <v>435</v>
      </c>
      <c r="H22" s="41" t="s">
        <v>436</v>
      </c>
      <c r="I22" s="41" t="s">
        <v>437</v>
      </c>
      <c r="J22" s="41" t="s">
        <v>438</v>
      </c>
      <c r="K22" s="41" t="s">
        <v>439</v>
      </c>
      <c r="L22" s="39"/>
      <c r="M22" s="39"/>
    </row>
    <row r="23" spans="1:13">
      <c r="A23" s="39"/>
      <c r="B23" s="39"/>
      <c r="C23" s="39"/>
      <c r="D23" s="42"/>
      <c r="E23" s="43"/>
      <c r="F23" s="44">
        <v>2</v>
      </c>
      <c r="G23" s="45">
        <v>43.2</v>
      </c>
      <c r="H23" s="45">
        <v>1.05</v>
      </c>
      <c r="I23" s="45"/>
      <c r="J23" s="46">
        <f>ROUND(F23*G23*H23,3)</f>
        <v>90.72</v>
      </c>
      <c r="K23" s="47">
        <f>SUM(J23:J23)</f>
        <v>90.72</v>
      </c>
      <c r="L23" s="39"/>
      <c r="M23" s="39"/>
    </row>
    <row r="24" spans="1:13" ht="45">
      <c r="A24" s="35" t="s">
        <v>956</v>
      </c>
      <c r="B24" s="35" t="s">
        <v>451</v>
      </c>
      <c r="C24" s="35" t="s">
        <v>56</v>
      </c>
      <c r="D24" s="36" t="s">
        <v>957</v>
      </c>
      <c r="E24" s="36"/>
      <c r="F24" s="36"/>
      <c r="G24" s="36"/>
      <c r="H24" s="36"/>
      <c r="I24" s="36"/>
      <c r="J24" s="36"/>
      <c r="K24" s="37">
        <v>1</v>
      </c>
      <c r="L24" s="37">
        <f>ROUND(131.222,3)</f>
        <v>131.22200000000001</v>
      </c>
      <c r="M24" s="38">
        <f>ROUND(K24*L24,2)</f>
        <v>131.22</v>
      </c>
    </row>
    <row r="25" spans="1:13">
      <c r="A25" s="35" t="s">
        <v>958</v>
      </c>
      <c r="B25" s="35" t="s">
        <v>451</v>
      </c>
      <c r="C25" s="35" t="s">
        <v>422</v>
      </c>
      <c r="D25" s="36" t="s">
        <v>959</v>
      </c>
      <c r="E25" s="36"/>
      <c r="F25" s="36"/>
      <c r="G25" s="36"/>
      <c r="H25" s="36"/>
      <c r="I25" s="36"/>
      <c r="J25" s="36"/>
      <c r="K25" s="37">
        <v>0.1</v>
      </c>
      <c r="L25" s="37">
        <f>ROUND(131.221,3)</f>
        <v>131.221</v>
      </c>
      <c r="M25" s="38">
        <f>ROUND(K25*L25,2)</f>
        <v>13.12</v>
      </c>
    </row>
    <row r="26" spans="1:13">
      <c r="A26" s="35" t="s">
        <v>454</v>
      </c>
      <c r="B26" s="35" t="s">
        <v>455</v>
      </c>
      <c r="C26" s="35" t="s">
        <v>456</v>
      </c>
      <c r="D26" s="36" t="s">
        <v>457</v>
      </c>
      <c r="E26" s="36"/>
      <c r="F26" s="36"/>
      <c r="G26" s="36"/>
      <c r="H26" s="36"/>
      <c r="I26" s="36"/>
      <c r="J26" s="36"/>
      <c r="K26" s="37">
        <v>0.09</v>
      </c>
      <c r="L26" s="37">
        <f>ROUND(17.82,3)</f>
        <v>17.82</v>
      </c>
      <c r="M26" s="38">
        <f>ROUND(K26*L26,2)</f>
        <v>1.6</v>
      </c>
    </row>
    <row r="27" spans="1:13">
      <c r="A27" s="35" t="s">
        <v>458</v>
      </c>
      <c r="B27" s="35" t="s">
        <v>455</v>
      </c>
      <c r="C27" s="35" t="s">
        <v>456</v>
      </c>
      <c r="D27" s="36" t="s">
        <v>459</v>
      </c>
      <c r="E27" s="36"/>
      <c r="F27" s="36"/>
      <c r="G27" s="36"/>
      <c r="H27" s="36"/>
      <c r="I27" s="36"/>
      <c r="J27" s="36"/>
      <c r="K27" s="37">
        <v>0.09</v>
      </c>
      <c r="L27" s="37">
        <f>ROUND(16.1,3)</f>
        <v>16.100000000000001</v>
      </c>
      <c r="M27" s="38">
        <f>ROUND(K27*L27,2)</f>
        <v>1.45</v>
      </c>
    </row>
    <row r="28" spans="1:13">
      <c r="A28" s="35" t="s">
        <v>460</v>
      </c>
      <c r="B28" s="35"/>
      <c r="C28" s="35" t="s">
        <v>460</v>
      </c>
      <c r="D28" s="36" t="s">
        <v>461</v>
      </c>
      <c r="E28" s="36"/>
      <c r="F28" s="36"/>
      <c r="G28" s="36"/>
      <c r="H28" s="36"/>
      <c r="I28" s="36"/>
      <c r="J28" s="36"/>
      <c r="K28" s="37">
        <v>2</v>
      </c>
      <c r="L28" s="37">
        <f>ROUND(147.39,3)</f>
        <v>147.38999999999999</v>
      </c>
      <c r="M28" s="38">
        <f>ROUND((K28*L28)/100,2)</f>
        <v>2.95</v>
      </c>
    </row>
    <row r="29" spans="1:13">
      <c r="A29" s="52"/>
      <c r="B29" s="52"/>
      <c r="C29" s="52"/>
      <c r="D29" s="53" t="s">
        <v>953</v>
      </c>
      <c r="E29" s="52"/>
      <c r="F29" s="52"/>
      <c r="G29" s="52"/>
      <c r="H29" s="52"/>
      <c r="I29" s="52"/>
      <c r="J29" s="52"/>
      <c r="K29" s="54">
        <v>90.72</v>
      </c>
      <c r="L29" s="55">
        <f>ROUND((M24+M25+M26+M27+M28)*(1+M2/100),2)</f>
        <v>154.85</v>
      </c>
      <c r="M29" s="55">
        <f>ROUND(K29*L29,2)</f>
        <v>14047.99</v>
      </c>
    </row>
    <row r="30" spans="1:13">
      <c r="A30" s="56" t="s">
        <v>441</v>
      </c>
      <c r="B30" s="57" t="s">
        <v>431</v>
      </c>
      <c r="C30" s="57" t="s">
        <v>3</v>
      </c>
      <c r="D30" s="58" t="s">
        <v>442</v>
      </c>
      <c r="E30" s="58"/>
      <c r="F30" s="58"/>
      <c r="G30" s="58"/>
      <c r="H30" s="58"/>
      <c r="I30" s="58"/>
      <c r="J30" s="58"/>
      <c r="K30" s="59">
        <f>SUM(K33:K34)</f>
        <v>2</v>
      </c>
      <c r="L30" s="60">
        <f>ROUND(865.6*(1+M2/100),2)</f>
        <v>891.57</v>
      </c>
      <c r="M30" s="60">
        <f>ROUND(K30*L30,2)</f>
        <v>1783.14</v>
      </c>
    </row>
    <row r="31" spans="1:13">
      <c r="A31" s="39"/>
      <c r="B31" s="39"/>
      <c r="C31" s="39"/>
      <c r="D31" s="36" t="s">
        <v>443</v>
      </c>
      <c r="E31" s="36"/>
      <c r="F31" s="36"/>
      <c r="G31" s="36"/>
      <c r="H31" s="36"/>
      <c r="I31" s="36"/>
      <c r="J31" s="36"/>
      <c r="K31" s="36"/>
      <c r="L31" s="36"/>
      <c r="M31" s="36"/>
    </row>
    <row r="32" spans="1:13">
      <c r="A32" s="39"/>
      <c r="B32" s="39"/>
      <c r="C32" s="39"/>
      <c r="D32" s="39"/>
      <c r="E32" s="40"/>
      <c r="F32" s="41" t="s">
        <v>434</v>
      </c>
      <c r="G32" s="41" t="s">
        <v>435</v>
      </c>
      <c r="H32" s="41" t="s">
        <v>436</v>
      </c>
      <c r="I32" s="41" t="s">
        <v>437</v>
      </c>
      <c r="J32" s="41" t="s">
        <v>438</v>
      </c>
      <c r="K32" s="41" t="s">
        <v>439</v>
      </c>
      <c r="L32" s="39"/>
      <c r="M32" s="39"/>
    </row>
    <row r="33" spans="1:13">
      <c r="A33" s="39"/>
      <c r="B33" s="39"/>
      <c r="C33" s="39"/>
      <c r="D33" s="42"/>
      <c r="E33" s="43" t="s">
        <v>444</v>
      </c>
      <c r="F33" s="44">
        <v>1</v>
      </c>
      <c r="G33" s="45"/>
      <c r="H33" s="45"/>
      <c r="I33" s="45"/>
      <c r="J33" s="46">
        <f>ROUND(F33,3)</f>
        <v>1</v>
      </c>
      <c r="K33" s="48"/>
      <c r="L33" s="39"/>
      <c r="M33" s="39"/>
    </row>
    <row r="34" spans="1:13">
      <c r="A34" s="39"/>
      <c r="B34" s="39"/>
      <c r="C34" s="39"/>
      <c r="D34" s="42"/>
      <c r="E34" s="35" t="s">
        <v>445</v>
      </c>
      <c r="F34" s="49">
        <v>1</v>
      </c>
      <c r="G34" s="37"/>
      <c r="H34" s="37"/>
      <c r="I34" s="37"/>
      <c r="J34" s="50">
        <f>ROUND(F34,3)</f>
        <v>1</v>
      </c>
      <c r="K34" s="51">
        <f>SUM(J33:J34)</f>
        <v>2</v>
      </c>
      <c r="L34" s="39"/>
      <c r="M34" s="39"/>
    </row>
    <row r="35" spans="1:13">
      <c r="A35" s="34" t="s">
        <v>484</v>
      </c>
      <c r="B35" s="35" t="s">
        <v>431</v>
      </c>
      <c r="C35" s="35" t="s">
        <v>422</v>
      </c>
      <c r="D35" s="36" t="s">
        <v>485</v>
      </c>
      <c r="E35" s="36"/>
      <c r="F35" s="36"/>
      <c r="G35" s="36"/>
      <c r="H35" s="36"/>
      <c r="I35" s="36"/>
      <c r="J35" s="36"/>
      <c r="K35" s="37">
        <f>SUM(K38:K38)</f>
        <v>2</v>
      </c>
      <c r="L35" s="38">
        <f>L47</f>
        <v>160.87</v>
      </c>
      <c r="M35" s="38">
        <f>ROUND(K35*L35,2)</f>
        <v>321.74</v>
      </c>
    </row>
    <row r="36" spans="1:13" ht="67.5">
      <c r="A36" s="39"/>
      <c r="B36" s="39"/>
      <c r="C36" s="39"/>
      <c r="D36" s="36" t="s">
        <v>486</v>
      </c>
      <c r="E36" s="36"/>
      <c r="F36" s="36"/>
      <c r="G36" s="36"/>
      <c r="H36" s="36"/>
      <c r="I36" s="36"/>
      <c r="J36" s="36"/>
      <c r="K36" s="36"/>
      <c r="L36" s="36"/>
      <c r="M36" s="36"/>
    </row>
    <row r="37" spans="1:13">
      <c r="A37" s="39"/>
      <c r="B37" s="39"/>
      <c r="C37" s="39"/>
      <c r="D37" s="39"/>
      <c r="E37" s="40"/>
      <c r="F37" s="41" t="s">
        <v>434</v>
      </c>
      <c r="G37" s="41" t="s">
        <v>435</v>
      </c>
      <c r="H37" s="41" t="s">
        <v>436</v>
      </c>
      <c r="I37" s="41" t="s">
        <v>437</v>
      </c>
      <c r="J37" s="41" t="s">
        <v>438</v>
      </c>
      <c r="K37" s="41" t="s">
        <v>439</v>
      </c>
      <c r="L37" s="39"/>
      <c r="M37" s="39"/>
    </row>
    <row r="38" spans="1:13">
      <c r="A38" s="39"/>
      <c r="B38" s="39"/>
      <c r="C38" s="39"/>
      <c r="D38" s="42"/>
      <c r="E38" s="43"/>
      <c r="F38" s="44">
        <v>2</v>
      </c>
      <c r="G38" s="45"/>
      <c r="H38" s="45"/>
      <c r="I38" s="45"/>
      <c r="J38" s="46">
        <f>ROUND(F38,3)</f>
        <v>2</v>
      </c>
      <c r="K38" s="47">
        <f>SUM(J38:J38)</f>
        <v>2</v>
      </c>
      <c r="L38" s="39"/>
      <c r="M38" s="39"/>
    </row>
    <row r="39" spans="1:13" ht="22.5">
      <c r="A39" s="35" t="s">
        <v>487</v>
      </c>
      <c r="B39" s="35" t="s">
        <v>451</v>
      </c>
      <c r="C39" s="35" t="s">
        <v>422</v>
      </c>
      <c r="D39" s="36" t="s">
        <v>488</v>
      </c>
      <c r="E39" s="36"/>
      <c r="F39" s="36"/>
      <c r="G39" s="36"/>
      <c r="H39" s="36"/>
      <c r="I39" s="36"/>
      <c r="J39" s="36"/>
      <c r="K39" s="37">
        <v>1</v>
      </c>
      <c r="L39" s="37">
        <f>ROUND(124.13,3)</f>
        <v>124.13</v>
      </c>
      <c r="M39" s="38">
        <f t="shared" ref="M39:M45" si="0">ROUND(K39*L39,2)</f>
        <v>124.13</v>
      </c>
    </row>
    <row r="40" spans="1:13" ht="45">
      <c r="A40" s="35" t="s">
        <v>489</v>
      </c>
      <c r="B40" s="35" t="s">
        <v>451</v>
      </c>
      <c r="C40" s="35" t="s">
        <v>56</v>
      </c>
      <c r="D40" s="36" t="s">
        <v>490</v>
      </c>
      <c r="E40" s="36"/>
      <c r="F40" s="36"/>
      <c r="G40" s="36"/>
      <c r="H40" s="36"/>
      <c r="I40" s="36"/>
      <c r="J40" s="36"/>
      <c r="K40" s="37">
        <v>5</v>
      </c>
      <c r="L40" s="37">
        <f>ROUND(0.85,3)</f>
        <v>0.85</v>
      </c>
      <c r="M40" s="38">
        <f t="shared" si="0"/>
        <v>4.25</v>
      </c>
    </row>
    <row r="41" spans="1:13" ht="33.75">
      <c r="A41" s="35" t="s">
        <v>491</v>
      </c>
      <c r="B41" s="35" t="s">
        <v>451</v>
      </c>
      <c r="C41" s="35" t="s">
        <v>56</v>
      </c>
      <c r="D41" s="36" t="s">
        <v>492</v>
      </c>
      <c r="E41" s="36"/>
      <c r="F41" s="36"/>
      <c r="G41" s="36"/>
      <c r="H41" s="36"/>
      <c r="I41" s="36"/>
      <c r="J41" s="36"/>
      <c r="K41" s="37">
        <v>10</v>
      </c>
      <c r="L41" s="37">
        <f>ROUND(0.41,3)</f>
        <v>0.41</v>
      </c>
      <c r="M41" s="38">
        <f t="shared" si="0"/>
        <v>4.0999999999999996</v>
      </c>
    </row>
    <row r="42" spans="1:13">
      <c r="A42" s="35" t="s">
        <v>470</v>
      </c>
      <c r="B42" s="35" t="s">
        <v>455</v>
      </c>
      <c r="C42" s="35" t="s">
        <v>456</v>
      </c>
      <c r="D42" s="36" t="s">
        <v>471</v>
      </c>
      <c r="E42" s="36"/>
      <c r="F42" s="36"/>
      <c r="G42" s="36"/>
      <c r="H42" s="36"/>
      <c r="I42" s="36"/>
      <c r="J42" s="36"/>
      <c r="K42" s="37">
        <v>0.27400000000000002</v>
      </c>
      <c r="L42" s="37">
        <f>ROUND(20.33,3)</f>
        <v>20.329999999999998</v>
      </c>
      <c r="M42" s="38">
        <f t="shared" si="0"/>
        <v>5.57</v>
      </c>
    </row>
    <row r="43" spans="1:13">
      <c r="A43" s="35" t="s">
        <v>472</v>
      </c>
      <c r="B43" s="35" t="s">
        <v>455</v>
      </c>
      <c r="C43" s="35" t="s">
        <v>456</v>
      </c>
      <c r="D43" s="36" t="s">
        <v>473</v>
      </c>
      <c r="E43" s="36"/>
      <c r="F43" s="36"/>
      <c r="G43" s="36"/>
      <c r="H43" s="36"/>
      <c r="I43" s="36"/>
      <c r="J43" s="36"/>
      <c r="K43" s="37">
        <v>0.27400000000000002</v>
      </c>
      <c r="L43" s="37">
        <f>ROUND(17.32,3)</f>
        <v>17.32</v>
      </c>
      <c r="M43" s="38">
        <f t="shared" si="0"/>
        <v>4.75</v>
      </c>
    </row>
    <row r="44" spans="1:13">
      <c r="A44" s="35" t="s">
        <v>493</v>
      </c>
      <c r="B44" s="35" t="s">
        <v>455</v>
      </c>
      <c r="C44" s="35" t="s">
        <v>456</v>
      </c>
      <c r="D44" s="36" t="s">
        <v>494</v>
      </c>
      <c r="E44" s="36"/>
      <c r="F44" s="36"/>
      <c r="G44" s="36"/>
      <c r="H44" s="36"/>
      <c r="I44" s="36"/>
      <c r="J44" s="36"/>
      <c r="K44" s="37">
        <v>0.27400000000000002</v>
      </c>
      <c r="L44" s="37">
        <f>ROUND(20.33,3)</f>
        <v>20.329999999999998</v>
      </c>
      <c r="M44" s="38">
        <f t="shared" si="0"/>
        <v>5.57</v>
      </c>
    </row>
    <row r="45" spans="1:13">
      <c r="A45" s="35" t="s">
        <v>495</v>
      </c>
      <c r="B45" s="35" t="s">
        <v>455</v>
      </c>
      <c r="C45" s="35" t="s">
        <v>456</v>
      </c>
      <c r="D45" s="36" t="s">
        <v>496</v>
      </c>
      <c r="E45" s="36"/>
      <c r="F45" s="36"/>
      <c r="G45" s="36"/>
      <c r="H45" s="36"/>
      <c r="I45" s="36"/>
      <c r="J45" s="36"/>
      <c r="K45" s="37">
        <v>0.27400000000000002</v>
      </c>
      <c r="L45" s="37">
        <f>ROUND(17.32,3)</f>
        <v>17.32</v>
      </c>
      <c r="M45" s="38">
        <f t="shared" si="0"/>
        <v>4.75</v>
      </c>
    </row>
    <row r="46" spans="1:13">
      <c r="A46" s="35" t="s">
        <v>460</v>
      </c>
      <c r="B46" s="35"/>
      <c r="C46" s="35" t="s">
        <v>460</v>
      </c>
      <c r="D46" s="36" t="s">
        <v>461</v>
      </c>
      <c r="E46" s="36"/>
      <c r="F46" s="36"/>
      <c r="G46" s="36"/>
      <c r="H46" s="36"/>
      <c r="I46" s="36"/>
      <c r="J46" s="36"/>
      <c r="K46" s="37">
        <v>2</v>
      </c>
      <c r="L46" s="37">
        <f>ROUND(153.12,3)</f>
        <v>153.12</v>
      </c>
      <c r="M46" s="38">
        <f>ROUND((K46*L46)/100,2)</f>
        <v>3.06</v>
      </c>
    </row>
    <row r="47" spans="1:13">
      <c r="A47" s="52"/>
      <c r="B47" s="52"/>
      <c r="C47" s="52"/>
      <c r="D47" s="53" t="s">
        <v>484</v>
      </c>
      <c r="E47" s="52"/>
      <c r="F47" s="52"/>
      <c r="G47" s="52"/>
      <c r="H47" s="52"/>
      <c r="I47" s="52"/>
      <c r="J47" s="52"/>
      <c r="K47" s="54">
        <v>2</v>
      </c>
      <c r="L47" s="55">
        <f>ROUND((M39+M40+M41+M42+M43+M44+M45+M46)*(1+M2/100),2)</f>
        <v>160.87</v>
      </c>
      <c r="M47" s="55">
        <f>ROUND(K47*L47,2)</f>
        <v>321.74</v>
      </c>
    </row>
    <row r="48" spans="1:13">
      <c r="A48" s="56" t="s">
        <v>533</v>
      </c>
      <c r="B48" s="57" t="s">
        <v>431</v>
      </c>
      <c r="C48" s="57" t="s">
        <v>534</v>
      </c>
      <c r="D48" s="58" t="s">
        <v>535</v>
      </c>
      <c r="E48" s="58"/>
      <c r="F48" s="58"/>
      <c r="G48" s="58"/>
      <c r="H48" s="58"/>
      <c r="I48" s="58"/>
      <c r="J48" s="58"/>
      <c r="K48" s="59">
        <f>SUM(K51:K51)</f>
        <v>210</v>
      </c>
      <c r="L48" s="60">
        <f>L59</f>
        <v>6.65</v>
      </c>
      <c r="M48" s="60">
        <f>ROUND(K48*L48,2)</f>
        <v>1396.5</v>
      </c>
    </row>
    <row r="49" spans="1:13" ht="112.5">
      <c r="A49" s="39"/>
      <c r="B49" s="39"/>
      <c r="C49" s="39"/>
      <c r="D49" s="36" t="s">
        <v>536</v>
      </c>
      <c r="E49" s="36"/>
      <c r="F49" s="36"/>
      <c r="G49" s="36"/>
      <c r="H49" s="36"/>
      <c r="I49" s="36"/>
      <c r="J49" s="36"/>
      <c r="K49" s="36"/>
      <c r="L49" s="36"/>
      <c r="M49" s="36"/>
    </row>
    <row r="50" spans="1:13">
      <c r="A50" s="39"/>
      <c r="B50" s="39"/>
      <c r="C50" s="39"/>
      <c r="D50" s="39"/>
      <c r="E50" s="40"/>
      <c r="F50" s="41" t="s">
        <v>434</v>
      </c>
      <c r="G50" s="41" t="s">
        <v>435</v>
      </c>
      <c r="H50" s="41" t="s">
        <v>436</v>
      </c>
      <c r="I50" s="41" t="s">
        <v>437</v>
      </c>
      <c r="J50" s="41" t="s">
        <v>438</v>
      </c>
      <c r="K50" s="41" t="s">
        <v>439</v>
      </c>
      <c r="L50" s="39"/>
      <c r="M50" s="39"/>
    </row>
    <row r="51" spans="1:13">
      <c r="A51" s="39"/>
      <c r="B51" s="39"/>
      <c r="C51" s="39"/>
      <c r="D51" s="42"/>
      <c r="E51" s="43"/>
      <c r="F51" s="44">
        <v>210</v>
      </c>
      <c r="G51" s="45"/>
      <c r="H51" s="45"/>
      <c r="I51" s="45"/>
      <c r="J51" s="46">
        <f>ROUND(F51,3)</f>
        <v>210</v>
      </c>
      <c r="K51" s="47">
        <f>SUM(J51:J51)</f>
        <v>210</v>
      </c>
      <c r="L51" s="39"/>
      <c r="M51" s="39"/>
    </row>
    <row r="52" spans="1:13">
      <c r="A52" s="35" t="s">
        <v>537</v>
      </c>
      <c r="B52" s="35" t="s">
        <v>451</v>
      </c>
      <c r="C52" s="35" t="s">
        <v>538</v>
      </c>
      <c r="D52" s="36" t="s">
        <v>539</v>
      </c>
      <c r="E52" s="36"/>
      <c r="F52" s="36"/>
      <c r="G52" s="36"/>
      <c r="H52" s="36"/>
      <c r="I52" s="36"/>
      <c r="J52" s="36"/>
      <c r="K52" s="37">
        <v>1.4999999999999999E-2</v>
      </c>
      <c r="L52" s="37">
        <f>ROUND(78.89,3)</f>
        <v>78.89</v>
      </c>
      <c r="M52" s="38">
        <f t="shared" ref="M52:M57" si="1">ROUND(K52*L52,2)</f>
        <v>1.18</v>
      </c>
    </row>
    <row r="53" spans="1:13">
      <c r="A53" s="35" t="s">
        <v>540</v>
      </c>
      <c r="B53" s="35" t="s">
        <v>451</v>
      </c>
      <c r="C53" s="35" t="s">
        <v>538</v>
      </c>
      <c r="D53" s="36" t="s">
        <v>541</v>
      </c>
      <c r="E53" s="36"/>
      <c r="F53" s="36"/>
      <c r="G53" s="36"/>
      <c r="H53" s="36"/>
      <c r="I53" s="36"/>
      <c r="J53" s="36"/>
      <c r="K53" s="37">
        <v>6.0000000000000001E-3</v>
      </c>
      <c r="L53" s="37">
        <f>ROUND(1.5,3)</f>
        <v>1.5</v>
      </c>
      <c r="M53" s="38">
        <f t="shared" si="1"/>
        <v>0.01</v>
      </c>
    </row>
    <row r="54" spans="1:13" ht="22.5">
      <c r="A54" s="35" t="s">
        <v>542</v>
      </c>
      <c r="B54" s="35" t="s">
        <v>451</v>
      </c>
      <c r="C54" s="35" t="s">
        <v>543</v>
      </c>
      <c r="D54" s="36" t="s">
        <v>544</v>
      </c>
      <c r="E54" s="36"/>
      <c r="F54" s="36"/>
      <c r="G54" s="36"/>
      <c r="H54" s="36"/>
      <c r="I54" s="36"/>
      <c r="J54" s="36"/>
      <c r="K54" s="37">
        <v>1.9E-2</v>
      </c>
      <c r="L54" s="37">
        <f>ROUND(36.25,3)</f>
        <v>36.25</v>
      </c>
      <c r="M54" s="38">
        <f t="shared" si="1"/>
        <v>0.69</v>
      </c>
    </row>
    <row r="55" spans="1:13">
      <c r="A55" s="35" t="s">
        <v>545</v>
      </c>
      <c r="B55" s="35" t="s">
        <v>525</v>
      </c>
      <c r="C55" s="35" t="s">
        <v>456</v>
      </c>
      <c r="D55" s="36" t="s">
        <v>546</v>
      </c>
      <c r="E55" s="36"/>
      <c r="F55" s="36"/>
      <c r="G55" s="36"/>
      <c r="H55" s="36"/>
      <c r="I55" s="36"/>
      <c r="J55" s="36"/>
      <c r="K55" s="37">
        <v>5.0000000000000001E-3</v>
      </c>
      <c r="L55" s="37">
        <f>ROUND(25,3)</f>
        <v>25</v>
      </c>
      <c r="M55" s="38">
        <f t="shared" si="1"/>
        <v>0.13</v>
      </c>
    </row>
    <row r="56" spans="1:13">
      <c r="A56" s="35" t="s">
        <v>547</v>
      </c>
      <c r="B56" s="35" t="s">
        <v>455</v>
      </c>
      <c r="C56" s="35" t="s">
        <v>456</v>
      </c>
      <c r="D56" s="36" t="s">
        <v>548</v>
      </c>
      <c r="E56" s="36"/>
      <c r="F56" s="36"/>
      <c r="G56" s="36"/>
      <c r="H56" s="36"/>
      <c r="I56" s="36"/>
      <c r="J56" s="36"/>
      <c r="K56" s="37">
        <v>7.0000000000000007E-2</v>
      </c>
      <c r="L56" s="37">
        <f>ROUND(20.09,3)</f>
        <v>20.09</v>
      </c>
      <c r="M56" s="38">
        <f t="shared" si="1"/>
        <v>1.41</v>
      </c>
    </row>
    <row r="57" spans="1:13">
      <c r="A57" s="35" t="s">
        <v>549</v>
      </c>
      <c r="B57" s="35" t="s">
        <v>455</v>
      </c>
      <c r="C57" s="35" t="s">
        <v>456</v>
      </c>
      <c r="D57" s="36" t="s">
        <v>550</v>
      </c>
      <c r="E57" s="36"/>
      <c r="F57" s="36"/>
      <c r="G57" s="36"/>
      <c r="H57" s="36"/>
      <c r="I57" s="36"/>
      <c r="J57" s="36"/>
      <c r="K57" s="37">
        <v>0.17599999999999999</v>
      </c>
      <c r="L57" s="37">
        <f>ROUND(15.88,3)</f>
        <v>15.88</v>
      </c>
      <c r="M57" s="38">
        <f t="shared" si="1"/>
        <v>2.79</v>
      </c>
    </row>
    <row r="58" spans="1:13">
      <c r="A58" s="35" t="s">
        <v>460</v>
      </c>
      <c r="B58" s="35"/>
      <c r="C58" s="35" t="s">
        <v>460</v>
      </c>
      <c r="D58" s="36" t="s">
        <v>461</v>
      </c>
      <c r="E58" s="36"/>
      <c r="F58" s="36"/>
      <c r="G58" s="36"/>
      <c r="H58" s="36"/>
      <c r="I58" s="36"/>
      <c r="J58" s="36"/>
      <c r="K58" s="37">
        <v>4</v>
      </c>
      <c r="L58" s="37">
        <f>ROUND(6.21,3)</f>
        <v>6.21</v>
      </c>
      <c r="M58" s="38">
        <f>ROUND((K58*L58)/100,2)</f>
        <v>0.25</v>
      </c>
    </row>
    <row r="59" spans="1:13">
      <c r="A59" s="52"/>
      <c r="B59" s="52"/>
      <c r="C59" s="52"/>
      <c r="D59" s="53" t="s">
        <v>533</v>
      </c>
      <c r="E59" s="52"/>
      <c r="F59" s="52"/>
      <c r="G59" s="52"/>
      <c r="H59" s="52"/>
      <c r="I59" s="52"/>
      <c r="J59" s="52"/>
      <c r="K59" s="54">
        <v>210</v>
      </c>
      <c r="L59" s="55">
        <f>ROUND((M52+M53+M54+M55+M56+M57+M58)*(1+M2/100),2)</f>
        <v>6.65</v>
      </c>
      <c r="M59" s="55">
        <f>ROUND(K59*L59,2)</f>
        <v>1396.5</v>
      </c>
    </row>
    <row r="60" spans="1:13">
      <c r="A60" s="56" t="s">
        <v>551</v>
      </c>
      <c r="B60" s="57" t="s">
        <v>431</v>
      </c>
      <c r="C60" s="57" t="s">
        <v>3</v>
      </c>
      <c r="D60" s="58" t="s">
        <v>552</v>
      </c>
      <c r="E60" s="58"/>
      <c r="F60" s="58"/>
      <c r="G60" s="58"/>
      <c r="H60" s="58"/>
      <c r="I60" s="58"/>
      <c r="J60" s="58"/>
      <c r="K60" s="59">
        <f>SUM(K63:K63)</f>
        <v>95</v>
      </c>
      <c r="L60" s="60">
        <f>ROUND(60*(1+M2/100),2)</f>
        <v>61.8</v>
      </c>
      <c r="M60" s="60">
        <f>ROUND(K60*L60,2)</f>
        <v>5871</v>
      </c>
    </row>
    <row r="61" spans="1:13">
      <c r="A61" s="39"/>
      <c r="B61" s="39"/>
      <c r="C61" s="39"/>
      <c r="D61" s="36" t="s">
        <v>552</v>
      </c>
      <c r="E61" s="36"/>
      <c r="F61" s="36"/>
      <c r="G61" s="36"/>
      <c r="H61" s="36"/>
      <c r="I61" s="36"/>
      <c r="J61" s="36"/>
      <c r="K61" s="36"/>
      <c r="L61" s="36"/>
      <c r="M61" s="36"/>
    </row>
    <row r="62" spans="1:13">
      <c r="A62" s="39"/>
      <c r="B62" s="39"/>
      <c r="C62" s="39"/>
      <c r="D62" s="39"/>
      <c r="E62" s="40"/>
      <c r="F62" s="41" t="s">
        <v>434</v>
      </c>
      <c r="G62" s="41" t="s">
        <v>435</v>
      </c>
      <c r="H62" s="41" t="s">
        <v>436</v>
      </c>
      <c r="I62" s="41" t="s">
        <v>437</v>
      </c>
      <c r="J62" s="41" t="s">
        <v>438</v>
      </c>
      <c r="K62" s="41" t="s">
        <v>439</v>
      </c>
      <c r="L62" s="39"/>
      <c r="M62" s="39"/>
    </row>
    <row r="63" spans="1:13">
      <c r="A63" s="39"/>
      <c r="B63" s="39"/>
      <c r="C63" s="39"/>
      <c r="D63" s="42"/>
      <c r="E63" s="43"/>
      <c r="F63" s="44">
        <v>95</v>
      </c>
      <c r="G63" s="45"/>
      <c r="H63" s="45"/>
      <c r="I63" s="45"/>
      <c r="J63" s="46">
        <f>ROUND(F63,3)</f>
        <v>95</v>
      </c>
      <c r="K63" s="47">
        <f>SUM(J63:J63)</f>
        <v>95</v>
      </c>
      <c r="L63" s="39"/>
      <c r="M63" s="39"/>
    </row>
    <row r="64" spans="1:13">
      <c r="A64" s="34" t="s">
        <v>553</v>
      </c>
      <c r="B64" s="35" t="s">
        <v>431</v>
      </c>
      <c r="C64" s="35" t="s">
        <v>3</v>
      </c>
      <c r="D64" s="36" t="s">
        <v>554</v>
      </c>
      <c r="E64" s="36"/>
      <c r="F64" s="36"/>
      <c r="G64" s="36"/>
      <c r="H64" s="36"/>
      <c r="I64" s="36"/>
      <c r="J64" s="36"/>
      <c r="K64" s="37">
        <f>SUM(K67:K67)</f>
        <v>1</v>
      </c>
      <c r="L64" s="38">
        <f>ROUND(2165*(1+M2/100),2)</f>
        <v>2229.9499999999998</v>
      </c>
      <c r="M64" s="38">
        <f>ROUND(K64*L64,2)</f>
        <v>2229.9499999999998</v>
      </c>
    </row>
    <row r="65" spans="1:13">
      <c r="A65" s="39"/>
      <c r="B65" s="39"/>
      <c r="C65" s="39"/>
      <c r="D65" s="36" t="s">
        <v>554</v>
      </c>
      <c r="E65" s="36"/>
      <c r="F65" s="36"/>
      <c r="G65" s="36"/>
      <c r="H65" s="36"/>
      <c r="I65" s="36"/>
      <c r="J65" s="36"/>
      <c r="K65" s="36"/>
      <c r="L65" s="36"/>
      <c r="M65" s="36"/>
    </row>
    <row r="66" spans="1:13">
      <c r="A66" s="39"/>
      <c r="B66" s="39"/>
      <c r="C66" s="39"/>
      <c r="D66" s="39"/>
      <c r="E66" s="40"/>
      <c r="F66" s="41" t="s">
        <v>434</v>
      </c>
      <c r="G66" s="41" t="s">
        <v>435</v>
      </c>
      <c r="H66" s="41" t="s">
        <v>436</v>
      </c>
      <c r="I66" s="41" t="s">
        <v>437</v>
      </c>
      <c r="J66" s="41" t="s">
        <v>438</v>
      </c>
      <c r="K66" s="41" t="s">
        <v>439</v>
      </c>
      <c r="L66" s="39"/>
      <c r="M66" s="39"/>
    </row>
    <row r="67" spans="1:13">
      <c r="A67" s="39"/>
      <c r="B67" s="39"/>
      <c r="C67" s="39"/>
      <c r="D67" s="42"/>
      <c r="E67" s="43"/>
      <c r="F67" s="44">
        <v>1</v>
      </c>
      <c r="G67" s="45"/>
      <c r="H67" s="45"/>
      <c r="I67" s="45"/>
      <c r="J67" s="46">
        <f>ROUND(F67,3)</f>
        <v>1</v>
      </c>
      <c r="K67" s="47">
        <f>SUM(J67:J67)</f>
        <v>1</v>
      </c>
      <c r="L67" s="39"/>
      <c r="M67" s="39"/>
    </row>
    <row r="68" spans="1:13" ht="56.25">
      <c r="A68" s="34" t="s">
        <v>960</v>
      </c>
      <c r="B68" s="35" t="s">
        <v>431</v>
      </c>
      <c r="C68" s="35" t="s">
        <v>422</v>
      </c>
      <c r="D68" s="36" t="s">
        <v>961</v>
      </c>
      <c r="E68" s="36"/>
      <c r="F68" s="36"/>
      <c r="G68" s="36"/>
      <c r="H68" s="36"/>
      <c r="I68" s="36"/>
      <c r="J68" s="36"/>
      <c r="K68" s="37">
        <f>SUM(K71:K72)</f>
        <v>2</v>
      </c>
      <c r="L68" s="38">
        <f>L82</f>
        <v>264.38</v>
      </c>
      <c r="M68" s="38">
        <f>ROUND(K68*L68,2)</f>
        <v>528.76</v>
      </c>
    </row>
    <row r="69" spans="1:13" ht="56.25">
      <c r="A69" s="39"/>
      <c r="B69" s="39"/>
      <c r="C69" s="39"/>
      <c r="D69" s="36" t="s">
        <v>961</v>
      </c>
      <c r="E69" s="36"/>
      <c r="F69" s="36"/>
      <c r="G69" s="36"/>
      <c r="H69" s="36"/>
      <c r="I69" s="36"/>
      <c r="J69" s="36"/>
      <c r="K69" s="36"/>
      <c r="L69" s="36"/>
      <c r="M69" s="36"/>
    </row>
    <row r="70" spans="1:13">
      <c r="A70" s="39"/>
      <c r="B70" s="39"/>
      <c r="C70" s="39"/>
      <c r="D70" s="39"/>
      <c r="E70" s="40"/>
      <c r="F70" s="41" t="s">
        <v>434</v>
      </c>
      <c r="G70" s="41" t="s">
        <v>435</v>
      </c>
      <c r="H70" s="41" t="s">
        <v>436</v>
      </c>
      <c r="I70" s="41" t="s">
        <v>437</v>
      </c>
      <c r="J70" s="41" t="s">
        <v>438</v>
      </c>
      <c r="K70" s="41" t="s">
        <v>439</v>
      </c>
      <c r="L70" s="39"/>
      <c r="M70" s="39"/>
    </row>
    <row r="71" spans="1:13">
      <c r="A71" s="39"/>
      <c r="B71" s="39"/>
      <c r="C71" s="39"/>
      <c r="D71" s="42"/>
      <c r="E71" s="43" t="s">
        <v>962</v>
      </c>
      <c r="F71" s="44">
        <v>1</v>
      </c>
      <c r="G71" s="45"/>
      <c r="H71" s="45"/>
      <c r="I71" s="45"/>
      <c r="J71" s="46">
        <f>ROUND(F71,3)</f>
        <v>1</v>
      </c>
      <c r="K71" s="48"/>
      <c r="L71" s="39"/>
      <c r="M71" s="39"/>
    </row>
    <row r="72" spans="1:13">
      <c r="A72" s="39"/>
      <c r="B72" s="39"/>
      <c r="C72" s="39"/>
      <c r="D72" s="42"/>
      <c r="E72" s="35" t="s">
        <v>963</v>
      </c>
      <c r="F72" s="49">
        <v>1</v>
      </c>
      <c r="G72" s="37"/>
      <c r="H72" s="37"/>
      <c r="I72" s="37"/>
      <c r="J72" s="50">
        <f>ROUND(F72,3)</f>
        <v>1</v>
      </c>
      <c r="K72" s="51">
        <f>SUM(J71:J72)</f>
        <v>2</v>
      </c>
      <c r="L72" s="39"/>
      <c r="M72" s="39"/>
    </row>
    <row r="73" spans="1:13">
      <c r="A73" s="35" t="s">
        <v>964</v>
      </c>
      <c r="B73" s="35" t="s">
        <v>451</v>
      </c>
      <c r="C73" s="35" t="s">
        <v>422</v>
      </c>
      <c r="D73" s="36" t="s">
        <v>965</v>
      </c>
      <c r="E73" s="36"/>
      <c r="F73" s="36"/>
      <c r="G73" s="36"/>
      <c r="H73" s="36"/>
      <c r="I73" s="36"/>
      <c r="J73" s="36"/>
      <c r="K73" s="37">
        <v>2</v>
      </c>
      <c r="L73" s="37">
        <f>ROUND(1.628,3)</f>
        <v>1.6279999999999999</v>
      </c>
      <c r="M73" s="38">
        <f t="shared" ref="M73:M80" si="2">ROUND(K73*L73,2)</f>
        <v>3.26</v>
      </c>
    </row>
    <row r="74" spans="1:13" ht="22.5">
      <c r="A74" s="35" t="s">
        <v>966</v>
      </c>
      <c r="B74" s="35" t="s">
        <v>451</v>
      </c>
      <c r="C74" s="35" t="s">
        <v>56</v>
      </c>
      <c r="D74" s="36" t="s">
        <v>967</v>
      </c>
      <c r="E74" s="36"/>
      <c r="F74" s="36"/>
      <c r="G74" s="36"/>
      <c r="H74" s="36"/>
      <c r="I74" s="36"/>
      <c r="J74" s="36"/>
      <c r="K74" s="37">
        <v>2</v>
      </c>
      <c r="L74" s="37">
        <f>ROUND(23.718,3)</f>
        <v>23.718</v>
      </c>
      <c r="M74" s="38">
        <f t="shared" si="2"/>
        <v>47.44</v>
      </c>
    </row>
    <row r="75" spans="1:13" ht="22.5">
      <c r="A75" s="35" t="s">
        <v>968</v>
      </c>
      <c r="B75" s="35" t="s">
        <v>451</v>
      </c>
      <c r="C75" s="35" t="s">
        <v>534</v>
      </c>
      <c r="D75" s="36" t="s">
        <v>969</v>
      </c>
      <c r="E75" s="36"/>
      <c r="F75" s="36"/>
      <c r="G75" s="36"/>
      <c r="H75" s="36"/>
      <c r="I75" s="36"/>
      <c r="J75" s="36"/>
      <c r="K75" s="37">
        <v>0.82199999999999995</v>
      </c>
      <c r="L75" s="37">
        <f>ROUND(65.301,3)</f>
        <v>65.301000000000002</v>
      </c>
      <c r="M75" s="38">
        <f t="shared" si="2"/>
        <v>53.68</v>
      </c>
    </row>
    <row r="76" spans="1:13">
      <c r="A76" s="35" t="s">
        <v>515</v>
      </c>
      <c r="B76" s="35" t="s">
        <v>451</v>
      </c>
      <c r="C76" s="35" t="s">
        <v>516</v>
      </c>
      <c r="D76" s="36" t="s">
        <v>517</v>
      </c>
      <c r="E76" s="36"/>
      <c r="F76" s="36"/>
      <c r="G76" s="36"/>
      <c r="H76" s="36"/>
      <c r="I76" s="36"/>
      <c r="J76" s="36"/>
      <c r="K76" s="37">
        <v>3</v>
      </c>
      <c r="L76" s="37">
        <f>ROUND(9.601,3)</f>
        <v>9.6010000000000009</v>
      </c>
      <c r="M76" s="38">
        <f t="shared" si="2"/>
        <v>28.8</v>
      </c>
    </row>
    <row r="77" spans="1:13" ht="22.5">
      <c r="A77" s="35" t="s">
        <v>812</v>
      </c>
      <c r="B77" s="35" t="s">
        <v>451</v>
      </c>
      <c r="C77" s="35" t="s">
        <v>422</v>
      </c>
      <c r="D77" s="36" t="s">
        <v>813</v>
      </c>
      <c r="E77" s="36"/>
      <c r="F77" s="36"/>
      <c r="G77" s="36"/>
      <c r="H77" s="36"/>
      <c r="I77" s="36"/>
      <c r="J77" s="36"/>
      <c r="K77" s="37">
        <v>1</v>
      </c>
      <c r="L77" s="37">
        <f>ROUND(9.147,3)</f>
        <v>9.1470000000000002</v>
      </c>
      <c r="M77" s="38">
        <f t="shared" si="2"/>
        <v>9.15</v>
      </c>
    </row>
    <row r="78" spans="1:13" ht="22.5">
      <c r="A78" s="35" t="s">
        <v>970</v>
      </c>
      <c r="B78" s="35" t="s">
        <v>451</v>
      </c>
      <c r="C78" s="35" t="s">
        <v>422</v>
      </c>
      <c r="D78" s="36" t="s">
        <v>971</v>
      </c>
      <c r="E78" s="36"/>
      <c r="F78" s="36"/>
      <c r="G78" s="36"/>
      <c r="H78" s="36"/>
      <c r="I78" s="36"/>
      <c r="J78" s="36"/>
      <c r="K78" s="37">
        <v>5</v>
      </c>
      <c r="L78" s="37">
        <f>ROUND(17.474,3)</f>
        <v>17.474</v>
      </c>
      <c r="M78" s="38">
        <f t="shared" si="2"/>
        <v>87.37</v>
      </c>
    </row>
    <row r="79" spans="1:13">
      <c r="A79" s="35" t="s">
        <v>454</v>
      </c>
      <c r="B79" s="35" t="s">
        <v>455</v>
      </c>
      <c r="C79" s="35" t="s">
        <v>456</v>
      </c>
      <c r="D79" s="36" t="s">
        <v>457</v>
      </c>
      <c r="E79" s="36"/>
      <c r="F79" s="36"/>
      <c r="G79" s="36"/>
      <c r="H79" s="36"/>
      <c r="I79" s="36"/>
      <c r="J79" s="36"/>
      <c r="K79" s="37">
        <v>0.64700000000000002</v>
      </c>
      <c r="L79" s="37">
        <f>ROUND(17.82,3)</f>
        <v>17.82</v>
      </c>
      <c r="M79" s="38">
        <f t="shared" si="2"/>
        <v>11.53</v>
      </c>
    </row>
    <row r="80" spans="1:13">
      <c r="A80" s="35" t="s">
        <v>458</v>
      </c>
      <c r="B80" s="35" t="s">
        <v>455</v>
      </c>
      <c r="C80" s="35" t="s">
        <v>456</v>
      </c>
      <c r="D80" s="36" t="s">
        <v>459</v>
      </c>
      <c r="E80" s="36"/>
      <c r="F80" s="36"/>
      <c r="G80" s="36"/>
      <c r="H80" s="36"/>
      <c r="I80" s="36"/>
      <c r="J80" s="36"/>
      <c r="K80" s="37">
        <v>0.64700000000000002</v>
      </c>
      <c r="L80" s="37">
        <f>ROUND(16.1,3)</f>
        <v>16.100000000000001</v>
      </c>
      <c r="M80" s="38">
        <f t="shared" si="2"/>
        <v>10.42</v>
      </c>
    </row>
    <row r="81" spans="1:13">
      <c r="A81" s="35" t="s">
        <v>460</v>
      </c>
      <c r="B81" s="35"/>
      <c r="C81" s="35" t="s">
        <v>460</v>
      </c>
      <c r="D81" s="36" t="s">
        <v>461</v>
      </c>
      <c r="E81" s="36"/>
      <c r="F81" s="36"/>
      <c r="G81" s="36"/>
      <c r="H81" s="36"/>
      <c r="I81" s="36"/>
      <c r="J81" s="36"/>
      <c r="K81" s="37">
        <v>2</v>
      </c>
      <c r="L81" s="37">
        <f>ROUND(251.65,3)</f>
        <v>251.65</v>
      </c>
      <c r="M81" s="38">
        <f>ROUND((K81*L81)/100,2)</f>
        <v>5.03</v>
      </c>
    </row>
    <row r="82" spans="1:13">
      <c r="A82" s="52"/>
      <c r="B82" s="52"/>
      <c r="C82" s="52"/>
      <c r="D82" s="53" t="s">
        <v>960</v>
      </c>
      <c r="E82" s="52"/>
      <c r="F82" s="52"/>
      <c r="G82" s="52"/>
      <c r="H82" s="52"/>
      <c r="I82" s="52"/>
      <c r="J82" s="52"/>
      <c r="K82" s="54">
        <v>2</v>
      </c>
      <c r="L82" s="55">
        <f>ROUND((M73+M74+M75+M76+M77+M78+M79+M80+M81)*(1+M2/100),2)</f>
        <v>264.38</v>
      </c>
      <c r="M82" s="55">
        <f>ROUND(K82*L82,2)</f>
        <v>528.76</v>
      </c>
    </row>
    <row r="83" spans="1:13" ht="146.25">
      <c r="A83" s="56" t="s">
        <v>972</v>
      </c>
      <c r="B83" s="57" t="s">
        <v>431</v>
      </c>
      <c r="C83" s="57" t="s">
        <v>422</v>
      </c>
      <c r="D83" s="58" t="s">
        <v>973</v>
      </c>
      <c r="E83" s="58"/>
      <c r="F83" s="58"/>
      <c r="G83" s="58"/>
      <c r="H83" s="58"/>
      <c r="I83" s="58"/>
      <c r="J83" s="58"/>
      <c r="K83" s="59">
        <f>ROUND(6,2)</f>
        <v>6</v>
      </c>
      <c r="L83" s="60">
        <f>L101</f>
        <v>2363.15</v>
      </c>
      <c r="M83" s="60">
        <f>ROUND(K83*L83,2)</f>
        <v>14178.9</v>
      </c>
    </row>
    <row r="84" spans="1:13" ht="191.25">
      <c r="A84" s="39"/>
      <c r="B84" s="39"/>
      <c r="C84" s="39"/>
      <c r="D84" s="36" t="s">
        <v>974</v>
      </c>
      <c r="E84" s="36"/>
      <c r="F84" s="36"/>
      <c r="G84" s="36"/>
      <c r="H84" s="36"/>
      <c r="I84" s="36"/>
      <c r="J84" s="36"/>
      <c r="K84" s="36"/>
      <c r="L84" s="36"/>
      <c r="M84" s="36"/>
    </row>
    <row r="85" spans="1:13" ht="112.5">
      <c r="A85" s="35" t="s">
        <v>975</v>
      </c>
      <c r="B85" s="35" t="s">
        <v>451</v>
      </c>
      <c r="C85" s="35" t="s">
        <v>422</v>
      </c>
      <c r="D85" s="36" t="s">
        <v>976</v>
      </c>
      <c r="E85" s="36"/>
      <c r="F85" s="36"/>
      <c r="G85" s="36"/>
      <c r="H85" s="36"/>
      <c r="I85" s="36"/>
      <c r="J85" s="36"/>
      <c r="K85" s="37">
        <v>1</v>
      </c>
      <c r="L85" s="37">
        <f>ROUND(1818.84,3)</f>
        <v>1818.84</v>
      </c>
      <c r="M85" s="38">
        <f t="shared" ref="M85:M99" si="3">ROUND(K85*L85,2)</f>
        <v>1818.84</v>
      </c>
    </row>
    <row r="86" spans="1:13">
      <c r="A86" s="35" t="s">
        <v>977</v>
      </c>
      <c r="B86" s="35" t="s">
        <v>451</v>
      </c>
      <c r="C86" s="35" t="s">
        <v>422</v>
      </c>
      <c r="D86" s="36" t="s">
        <v>978</v>
      </c>
      <c r="E86" s="36"/>
      <c r="F86" s="36"/>
      <c r="G86" s="36"/>
      <c r="H86" s="36"/>
      <c r="I86" s="36"/>
      <c r="J86" s="36"/>
      <c r="K86" s="37">
        <v>1</v>
      </c>
      <c r="L86" s="37">
        <f>ROUND(27.68,3)</f>
        <v>27.68</v>
      </c>
      <c r="M86" s="38">
        <f t="shared" si="3"/>
        <v>27.68</v>
      </c>
    </row>
    <row r="87" spans="1:13" ht="22.5">
      <c r="A87" s="35" t="s">
        <v>979</v>
      </c>
      <c r="B87" s="35" t="s">
        <v>451</v>
      </c>
      <c r="C87" s="35" t="s">
        <v>422</v>
      </c>
      <c r="D87" s="36" t="s">
        <v>980</v>
      </c>
      <c r="E87" s="36"/>
      <c r="F87" s="36"/>
      <c r="G87" s="36"/>
      <c r="H87" s="36"/>
      <c r="I87" s="36"/>
      <c r="J87" s="36"/>
      <c r="K87" s="37">
        <v>1</v>
      </c>
      <c r="L87" s="37">
        <f>ROUND(20.03,3)</f>
        <v>20.03</v>
      </c>
      <c r="M87" s="38">
        <f t="shared" si="3"/>
        <v>20.03</v>
      </c>
    </row>
    <row r="88" spans="1:13">
      <c r="A88" s="35" t="s">
        <v>981</v>
      </c>
      <c r="B88" s="35" t="s">
        <v>451</v>
      </c>
      <c r="C88" s="35" t="s">
        <v>422</v>
      </c>
      <c r="D88" s="36" t="s">
        <v>982</v>
      </c>
      <c r="E88" s="36"/>
      <c r="F88" s="36"/>
      <c r="G88" s="36"/>
      <c r="H88" s="36"/>
      <c r="I88" s="36"/>
      <c r="J88" s="36"/>
      <c r="K88" s="37">
        <v>2</v>
      </c>
      <c r="L88" s="37">
        <f>ROUND(16.08,3)</f>
        <v>16.079999999999998</v>
      </c>
      <c r="M88" s="38">
        <f t="shared" si="3"/>
        <v>32.159999999999997</v>
      </c>
    </row>
    <row r="89" spans="1:13" ht="22.5">
      <c r="A89" s="35" t="s">
        <v>983</v>
      </c>
      <c r="B89" s="35" t="s">
        <v>451</v>
      </c>
      <c r="C89" s="35" t="s">
        <v>422</v>
      </c>
      <c r="D89" s="36" t="s">
        <v>984</v>
      </c>
      <c r="E89" s="36"/>
      <c r="F89" s="36"/>
      <c r="G89" s="36"/>
      <c r="H89" s="36"/>
      <c r="I89" s="36"/>
      <c r="J89" s="36"/>
      <c r="K89" s="37">
        <v>1</v>
      </c>
      <c r="L89" s="37">
        <f>ROUND(20.27,3)</f>
        <v>20.27</v>
      </c>
      <c r="M89" s="38">
        <f t="shared" si="3"/>
        <v>20.27</v>
      </c>
    </row>
    <row r="90" spans="1:13">
      <c r="A90" s="35" t="s">
        <v>985</v>
      </c>
      <c r="B90" s="35" t="s">
        <v>451</v>
      </c>
      <c r="C90" s="35" t="s">
        <v>422</v>
      </c>
      <c r="D90" s="36" t="s">
        <v>986</v>
      </c>
      <c r="E90" s="36"/>
      <c r="F90" s="36"/>
      <c r="G90" s="36"/>
      <c r="H90" s="36"/>
      <c r="I90" s="36"/>
      <c r="J90" s="36"/>
      <c r="K90" s="37">
        <v>1</v>
      </c>
      <c r="L90" s="37">
        <f>ROUND(6.17,3)</f>
        <v>6.17</v>
      </c>
      <c r="M90" s="38">
        <f t="shared" si="3"/>
        <v>6.17</v>
      </c>
    </row>
    <row r="91" spans="1:13" ht="22.5">
      <c r="A91" s="35" t="s">
        <v>987</v>
      </c>
      <c r="B91" s="35" t="s">
        <v>451</v>
      </c>
      <c r="C91" s="35" t="s">
        <v>422</v>
      </c>
      <c r="D91" s="36" t="s">
        <v>988</v>
      </c>
      <c r="E91" s="36"/>
      <c r="F91" s="36"/>
      <c r="G91" s="36"/>
      <c r="H91" s="36"/>
      <c r="I91" s="36"/>
      <c r="J91" s="36"/>
      <c r="K91" s="37">
        <v>2</v>
      </c>
      <c r="L91" s="37">
        <f>ROUND(19.95,3)</f>
        <v>19.95</v>
      </c>
      <c r="M91" s="38">
        <f t="shared" si="3"/>
        <v>39.9</v>
      </c>
    </row>
    <row r="92" spans="1:13" ht="22.5">
      <c r="A92" s="35" t="s">
        <v>812</v>
      </c>
      <c r="B92" s="35" t="s">
        <v>451</v>
      </c>
      <c r="C92" s="35" t="s">
        <v>422</v>
      </c>
      <c r="D92" s="36" t="s">
        <v>813</v>
      </c>
      <c r="E92" s="36"/>
      <c r="F92" s="36"/>
      <c r="G92" s="36"/>
      <c r="H92" s="36"/>
      <c r="I92" s="36"/>
      <c r="J92" s="36"/>
      <c r="K92" s="37">
        <v>1</v>
      </c>
      <c r="L92" s="37">
        <f>ROUND(9.147,3)</f>
        <v>9.1470000000000002</v>
      </c>
      <c r="M92" s="38">
        <f t="shared" si="3"/>
        <v>9.15</v>
      </c>
    </row>
    <row r="93" spans="1:13">
      <c r="A93" s="35" t="s">
        <v>989</v>
      </c>
      <c r="B93" s="35" t="s">
        <v>451</v>
      </c>
      <c r="C93" s="35" t="s">
        <v>422</v>
      </c>
      <c r="D93" s="36" t="s">
        <v>990</v>
      </c>
      <c r="E93" s="36"/>
      <c r="F93" s="36"/>
      <c r="G93" s="36"/>
      <c r="H93" s="36"/>
      <c r="I93" s="36"/>
      <c r="J93" s="36"/>
      <c r="K93" s="37">
        <v>2</v>
      </c>
      <c r="L93" s="37">
        <f>ROUND(4.13,3)</f>
        <v>4.13</v>
      </c>
      <c r="M93" s="38">
        <f t="shared" si="3"/>
        <v>8.26</v>
      </c>
    </row>
    <row r="94" spans="1:13" ht="22.5">
      <c r="A94" s="35" t="s">
        <v>991</v>
      </c>
      <c r="B94" s="35" t="s">
        <v>451</v>
      </c>
      <c r="C94" s="35" t="s">
        <v>56</v>
      </c>
      <c r="D94" s="36" t="s">
        <v>992</v>
      </c>
      <c r="E94" s="36"/>
      <c r="F94" s="36"/>
      <c r="G94" s="36"/>
      <c r="H94" s="36"/>
      <c r="I94" s="36"/>
      <c r="J94" s="36"/>
      <c r="K94" s="37">
        <v>0.35</v>
      </c>
      <c r="L94" s="37">
        <f>ROUND(5.08,3)</f>
        <v>5.08</v>
      </c>
      <c r="M94" s="38">
        <f t="shared" si="3"/>
        <v>1.78</v>
      </c>
    </row>
    <row r="95" spans="1:13" ht="45">
      <c r="A95" s="35" t="s">
        <v>993</v>
      </c>
      <c r="B95" s="35" t="s">
        <v>451</v>
      </c>
      <c r="C95" s="35" t="s">
        <v>56</v>
      </c>
      <c r="D95" s="36" t="s">
        <v>994</v>
      </c>
      <c r="E95" s="36"/>
      <c r="F95" s="36"/>
      <c r="G95" s="36"/>
      <c r="H95" s="36"/>
      <c r="I95" s="36"/>
      <c r="J95" s="36"/>
      <c r="K95" s="37">
        <v>3</v>
      </c>
      <c r="L95" s="37">
        <f>ROUND(1.2,3)</f>
        <v>1.2</v>
      </c>
      <c r="M95" s="38">
        <f t="shared" si="3"/>
        <v>3.6</v>
      </c>
    </row>
    <row r="96" spans="1:13" ht="22.5">
      <c r="A96" s="35" t="s">
        <v>531</v>
      </c>
      <c r="B96" s="35" t="s">
        <v>451</v>
      </c>
      <c r="C96" s="35" t="s">
        <v>56</v>
      </c>
      <c r="D96" s="36" t="s">
        <v>532</v>
      </c>
      <c r="E96" s="36"/>
      <c r="F96" s="36"/>
      <c r="G96" s="36"/>
      <c r="H96" s="36"/>
      <c r="I96" s="36"/>
      <c r="J96" s="36"/>
      <c r="K96" s="37">
        <v>9</v>
      </c>
      <c r="L96" s="37">
        <f>ROUND(0.4,3)</f>
        <v>0.4</v>
      </c>
      <c r="M96" s="38">
        <f t="shared" si="3"/>
        <v>3.6</v>
      </c>
    </row>
    <row r="97" spans="1:13">
      <c r="A97" s="35" t="s">
        <v>995</v>
      </c>
      <c r="B97" s="35" t="s">
        <v>451</v>
      </c>
      <c r="C97" s="35" t="s">
        <v>422</v>
      </c>
      <c r="D97" s="36" t="s">
        <v>996</v>
      </c>
      <c r="E97" s="36"/>
      <c r="F97" s="36"/>
      <c r="G97" s="36"/>
      <c r="H97" s="36"/>
      <c r="I97" s="36"/>
      <c r="J97" s="36"/>
      <c r="K97" s="37">
        <v>1</v>
      </c>
      <c r="L97" s="37">
        <f>ROUND(136.02,3)</f>
        <v>136.02000000000001</v>
      </c>
      <c r="M97" s="38">
        <f t="shared" si="3"/>
        <v>136.02000000000001</v>
      </c>
    </row>
    <row r="98" spans="1:13">
      <c r="A98" s="35" t="s">
        <v>527</v>
      </c>
      <c r="B98" s="35" t="s">
        <v>455</v>
      </c>
      <c r="C98" s="35" t="s">
        <v>456</v>
      </c>
      <c r="D98" s="36" t="s">
        <v>528</v>
      </c>
      <c r="E98" s="36"/>
      <c r="F98" s="36"/>
      <c r="G98" s="36"/>
      <c r="H98" s="36"/>
      <c r="I98" s="36"/>
      <c r="J98" s="36"/>
      <c r="K98" s="37">
        <v>3.2370000000000001</v>
      </c>
      <c r="L98" s="37">
        <f>ROUND(20.33,3)</f>
        <v>20.329999999999998</v>
      </c>
      <c r="M98" s="38">
        <f t="shared" si="3"/>
        <v>65.81</v>
      </c>
    </row>
    <row r="99" spans="1:13">
      <c r="A99" s="35" t="s">
        <v>529</v>
      </c>
      <c r="B99" s="35" t="s">
        <v>455</v>
      </c>
      <c r="C99" s="35" t="s">
        <v>456</v>
      </c>
      <c r="D99" s="36" t="s">
        <v>530</v>
      </c>
      <c r="E99" s="36"/>
      <c r="F99" s="36"/>
      <c r="G99" s="36"/>
      <c r="H99" s="36"/>
      <c r="I99" s="36"/>
      <c r="J99" s="36"/>
      <c r="K99" s="37">
        <v>3.2370000000000001</v>
      </c>
      <c r="L99" s="37">
        <f>ROUND(17.32,3)</f>
        <v>17.32</v>
      </c>
      <c r="M99" s="38">
        <f t="shared" si="3"/>
        <v>56.06</v>
      </c>
    </row>
    <row r="100" spans="1:13">
      <c r="A100" s="35" t="s">
        <v>460</v>
      </c>
      <c r="B100" s="35"/>
      <c r="C100" s="35" t="s">
        <v>460</v>
      </c>
      <c r="D100" s="36" t="s">
        <v>461</v>
      </c>
      <c r="E100" s="36"/>
      <c r="F100" s="36"/>
      <c r="G100" s="36"/>
      <c r="H100" s="36"/>
      <c r="I100" s="36"/>
      <c r="J100" s="36"/>
      <c r="K100" s="37">
        <v>2</v>
      </c>
      <c r="L100" s="37">
        <f>ROUND(2249.33,3)</f>
        <v>2249.33</v>
      </c>
      <c r="M100" s="38">
        <f>ROUND((K100*L100)/100,2)</f>
        <v>44.99</v>
      </c>
    </row>
    <row r="101" spans="1:13">
      <c r="A101" s="52"/>
      <c r="B101" s="52"/>
      <c r="C101" s="52"/>
      <c r="D101" s="53" t="s">
        <v>972</v>
      </c>
      <c r="E101" s="52"/>
      <c r="F101" s="52"/>
      <c r="G101" s="52"/>
      <c r="H101" s="52"/>
      <c r="I101" s="52"/>
      <c r="J101" s="52"/>
      <c r="K101" s="54">
        <v>6</v>
      </c>
      <c r="L101" s="55">
        <f>ROUND((M85+M86+M87+M88+M89+M90+M91+M92+M93+M94+M95+M96+M97+M98+M99+M100)*(1+M2/100),2)</f>
        <v>2363.15</v>
      </c>
      <c r="M101" s="55">
        <f>ROUND(K101*L101,2)</f>
        <v>14178.9</v>
      </c>
    </row>
    <row r="102" spans="1:13" ht="146.25">
      <c r="A102" s="56" t="s">
        <v>997</v>
      </c>
      <c r="B102" s="57" t="s">
        <v>431</v>
      </c>
      <c r="C102" s="57" t="s">
        <v>422</v>
      </c>
      <c r="D102" s="58" t="s">
        <v>998</v>
      </c>
      <c r="E102" s="58"/>
      <c r="F102" s="58"/>
      <c r="G102" s="58"/>
      <c r="H102" s="58"/>
      <c r="I102" s="58"/>
      <c r="J102" s="58"/>
      <c r="K102" s="59">
        <f>ROUND(1,2)</f>
        <v>1</v>
      </c>
      <c r="L102" s="60">
        <f>L120</f>
        <v>3526.46</v>
      </c>
      <c r="M102" s="60">
        <f>ROUND(K102*L102,2)</f>
        <v>3526.46</v>
      </c>
    </row>
    <row r="103" spans="1:13" ht="191.25">
      <c r="A103" s="39"/>
      <c r="B103" s="39"/>
      <c r="C103" s="39"/>
      <c r="D103" s="36" t="s">
        <v>999</v>
      </c>
      <c r="E103" s="36"/>
      <c r="F103" s="36"/>
      <c r="G103" s="36"/>
      <c r="H103" s="36"/>
      <c r="I103" s="36"/>
      <c r="J103" s="36"/>
      <c r="K103" s="36"/>
      <c r="L103" s="36"/>
      <c r="M103" s="36"/>
    </row>
    <row r="104" spans="1:13" ht="112.5">
      <c r="A104" s="35" t="s">
        <v>1000</v>
      </c>
      <c r="B104" s="35" t="s">
        <v>451</v>
      </c>
      <c r="C104" s="35" t="s">
        <v>422</v>
      </c>
      <c r="D104" s="36" t="s">
        <v>1001</v>
      </c>
      <c r="E104" s="36"/>
      <c r="F104" s="36"/>
      <c r="G104" s="36"/>
      <c r="H104" s="36"/>
      <c r="I104" s="36"/>
      <c r="J104" s="36"/>
      <c r="K104" s="37">
        <v>1</v>
      </c>
      <c r="L104" s="37">
        <f>ROUND(2602.26,3)</f>
        <v>2602.2600000000002</v>
      </c>
      <c r="M104" s="38">
        <f t="shared" ref="M104:M118" si="4">ROUND(K104*L104,2)</f>
        <v>2602.2600000000002</v>
      </c>
    </row>
    <row r="105" spans="1:13">
      <c r="A105" s="35" t="s">
        <v>977</v>
      </c>
      <c r="B105" s="35" t="s">
        <v>451</v>
      </c>
      <c r="C105" s="35" t="s">
        <v>422</v>
      </c>
      <c r="D105" s="36" t="s">
        <v>978</v>
      </c>
      <c r="E105" s="36"/>
      <c r="F105" s="36"/>
      <c r="G105" s="36"/>
      <c r="H105" s="36"/>
      <c r="I105" s="36"/>
      <c r="J105" s="36"/>
      <c r="K105" s="37">
        <v>1</v>
      </c>
      <c r="L105" s="37">
        <f>ROUND(27.68,3)</f>
        <v>27.68</v>
      </c>
      <c r="M105" s="38">
        <f t="shared" si="4"/>
        <v>27.68</v>
      </c>
    </row>
    <row r="106" spans="1:13" ht="22.5">
      <c r="A106" s="35" t="s">
        <v>1002</v>
      </c>
      <c r="B106" s="35" t="s">
        <v>451</v>
      </c>
      <c r="C106" s="35" t="s">
        <v>422</v>
      </c>
      <c r="D106" s="36" t="s">
        <v>1003</v>
      </c>
      <c r="E106" s="36"/>
      <c r="F106" s="36"/>
      <c r="G106" s="36"/>
      <c r="H106" s="36"/>
      <c r="I106" s="36"/>
      <c r="J106" s="36"/>
      <c r="K106" s="37">
        <v>2</v>
      </c>
      <c r="L106" s="37">
        <f>ROUND(46.94,3)</f>
        <v>46.94</v>
      </c>
      <c r="M106" s="38">
        <f t="shared" si="4"/>
        <v>93.88</v>
      </c>
    </row>
    <row r="107" spans="1:13">
      <c r="A107" s="35" t="s">
        <v>1004</v>
      </c>
      <c r="B107" s="35" t="s">
        <v>451</v>
      </c>
      <c r="C107" s="35" t="s">
        <v>422</v>
      </c>
      <c r="D107" s="36" t="s">
        <v>1005</v>
      </c>
      <c r="E107" s="36"/>
      <c r="F107" s="36"/>
      <c r="G107" s="36"/>
      <c r="H107" s="36"/>
      <c r="I107" s="36"/>
      <c r="J107" s="36"/>
      <c r="K107" s="37">
        <v>2</v>
      </c>
      <c r="L107" s="37">
        <f>ROUND(118.95,3)</f>
        <v>118.95</v>
      </c>
      <c r="M107" s="38">
        <f t="shared" si="4"/>
        <v>237.9</v>
      </c>
    </row>
    <row r="108" spans="1:13" ht="22.5">
      <c r="A108" s="35" t="s">
        <v>1006</v>
      </c>
      <c r="B108" s="35" t="s">
        <v>451</v>
      </c>
      <c r="C108" s="35" t="s">
        <v>422</v>
      </c>
      <c r="D108" s="36" t="s">
        <v>1007</v>
      </c>
      <c r="E108" s="36"/>
      <c r="F108" s="36"/>
      <c r="G108" s="36"/>
      <c r="H108" s="36"/>
      <c r="I108" s="36"/>
      <c r="J108" s="36"/>
      <c r="K108" s="37">
        <v>1</v>
      </c>
      <c r="L108" s="37">
        <f>ROUND(27.06,3)</f>
        <v>27.06</v>
      </c>
      <c r="M108" s="38">
        <f t="shared" si="4"/>
        <v>27.06</v>
      </c>
    </row>
    <row r="109" spans="1:13">
      <c r="A109" s="35" t="s">
        <v>1008</v>
      </c>
      <c r="B109" s="35" t="s">
        <v>451</v>
      </c>
      <c r="C109" s="35" t="s">
        <v>422</v>
      </c>
      <c r="D109" s="36" t="s">
        <v>1009</v>
      </c>
      <c r="E109" s="36"/>
      <c r="F109" s="36"/>
      <c r="G109" s="36"/>
      <c r="H109" s="36"/>
      <c r="I109" s="36"/>
      <c r="J109" s="36"/>
      <c r="K109" s="37">
        <v>1</v>
      </c>
      <c r="L109" s="37">
        <f>ROUND(34.58,3)</f>
        <v>34.58</v>
      </c>
      <c r="M109" s="38">
        <f t="shared" si="4"/>
        <v>34.58</v>
      </c>
    </row>
    <row r="110" spans="1:13" ht="22.5">
      <c r="A110" s="35" t="s">
        <v>1010</v>
      </c>
      <c r="B110" s="35" t="s">
        <v>451</v>
      </c>
      <c r="C110" s="35" t="s">
        <v>422</v>
      </c>
      <c r="D110" s="36" t="s">
        <v>1011</v>
      </c>
      <c r="E110" s="36"/>
      <c r="F110" s="36"/>
      <c r="G110" s="36"/>
      <c r="H110" s="36"/>
      <c r="I110" s="36"/>
      <c r="J110" s="36"/>
      <c r="K110" s="37">
        <v>2</v>
      </c>
      <c r="L110" s="37">
        <f>ROUND(24.49,3)</f>
        <v>24.49</v>
      </c>
      <c r="M110" s="38">
        <f t="shared" si="4"/>
        <v>48.98</v>
      </c>
    </row>
    <row r="111" spans="1:13" ht="22.5">
      <c r="A111" s="35" t="s">
        <v>812</v>
      </c>
      <c r="B111" s="35" t="s">
        <v>451</v>
      </c>
      <c r="C111" s="35" t="s">
        <v>422</v>
      </c>
      <c r="D111" s="36" t="s">
        <v>813</v>
      </c>
      <c r="E111" s="36"/>
      <c r="F111" s="36"/>
      <c r="G111" s="36"/>
      <c r="H111" s="36"/>
      <c r="I111" s="36"/>
      <c r="J111" s="36"/>
      <c r="K111" s="37">
        <v>1</v>
      </c>
      <c r="L111" s="37">
        <f>ROUND(9.147,3)</f>
        <v>9.1470000000000002</v>
      </c>
      <c r="M111" s="38">
        <f t="shared" si="4"/>
        <v>9.15</v>
      </c>
    </row>
    <row r="112" spans="1:13">
      <c r="A112" s="35" t="s">
        <v>989</v>
      </c>
      <c r="B112" s="35" t="s">
        <v>451</v>
      </c>
      <c r="C112" s="35" t="s">
        <v>422</v>
      </c>
      <c r="D112" s="36" t="s">
        <v>990</v>
      </c>
      <c r="E112" s="36"/>
      <c r="F112" s="36"/>
      <c r="G112" s="36"/>
      <c r="H112" s="36"/>
      <c r="I112" s="36"/>
      <c r="J112" s="36"/>
      <c r="K112" s="37">
        <v>2</v>
      </c>
      <c r="L112" s="37">
        <f>ROUND(4.13,3)</f>
        <v>4.13</v>
      </c>
      <c r="M112" s="38">
        <f t="shared" si="4"/>
        <v>8.26</v>
      </c>
    </row>
    <row r="113" spans="1:13" ht="22.5">
      <c r="A113" s="35" t="s">
        <v>991</v>
      </c>
      <c r="B113" s="35" t="s">
        <v>451</v>
      </c>
      <c r="C113" s="35" t="s">
        <v>56</v>
      </c>
      <c r="D113" s="36" t="s">
        <v>992</v>
      </c>
      <c r="E113" s="36"/>
      <c r="F113" s="36"/>
      <c r="G113" s="36"/>
      <c r="H113" s="36"/>
      <c r="I113" s="36"/>
      <c r="J113" s="36"/>
      <c r="K113" s="37">
        <v>0.35</v>
      </c>
      <c r="L113" s="37">
        <f>ROUND(5.08,3)</f>
        <v>5.08</v>
      </c>
      <c r="M113" s="38">
        <f t="shared" si="4"/>
        <v>1.78</v>
      </c>
    </row>
    <row r="114" spans="1:13" ht="45">
      <c r="A114" s="35" t="s">
        <v>993</v>
      </c>
      <c r="B114" s="35" t="s">
        <v>451</v>
      </c>
      <c r="C114" s="35" t="s">
        <v>56</v>
      </c>
      <c r="D114" s="36" t="s">
        <v>994</v>
      </c>
      <c r="E114" s="36"/>
      <c r="F114" s="36"/>
      <c r="G114" s="36"/>
      <c r="H114" s="36"/>
      <c r="I114" s="36"/>
      <c r="J114" s="36"/>
      <c r="K114" s="37">
        <v>3</v>
      </c>
      <c r="L114" s="37">
        <f>ROUND(1.2,3)</f>
        <v>1.2</v>
      </c>
      <c r="M114" s="38">
        <f t="shared" si="4"/>
        <v>3.6</v>
      </c>
    </row>
    <row r="115" spans="1:13" ht="22.5">
      <c r="A115" s="35" t="s">
        <v>531</v>
      </c>
      <c r="B115" s="35" t="s">
        <v>451</v>
      </c>
      <c r="C115" s="35" t="s">
        <v>56</v>
      </c>
      <c r="D115" s="36" t="s">
        <v>532</v>
      </c>
      <c r="E115" s="36"/>
      <c r="F115" s="36"/>
      <c r="G115" s="36"/>
      <c r="H115" s="36"/>
      <c r="I115" s="36"/>
      <c r="J115" s="36"/>
      <c r="K115" s="37">
        <v>9</v>
      </c>
      <c r="L115" s="37">
        <f>ROUND(0.4,3)</f>
        <v>0.4</v>
      </c>
      <c r="M115" s="38">
        <f t="shared" si="4"/>
        <v>3.6</v>
      </c>
    </row>
    <row r="116" spans="1:13">
      <c r="A116" s="35" t="s">
        <v>995</v>
      </c>
      <c r="B116" s="35" t="s">
        <v>451</v>
      </c>
      <c r="C116" s="35" t="s">
        <v>422</v>
      </c>
      <c r="D116" s="36" t="s">
        <v>996</v>
      </c>
      <c r="E116" s="36"/>
      <c r="F116" s="36"/>
      <c r="G116" s="36"/>
      <c r="H116" s="36"/>
      <c r="I116" s="36"/>
      <c r="J116" s="36"/>
      <c r="K116" s="37">
        <v>1</v>
      </c>
      <c r="L116" s="37">
        <f>ROUND(136.02,3)</f>
        <v>136.02000000000001</v>
      </c>
      <c r="M116" s="38">
        <f t="shared" si="4"/>
        <v>136.02000000000001</v>
      </c>
    </row>
    <row r="117" spans="1:13">
      <c r="A117" s="35" t="s">
        <v>527</v>
      </c>
      <c r="B117" s="35" t="s">
        <v>455</v>
      </c>
      <c r="C117" s="35" t="s">
        <v>456</v>
      </c>
      <c r="D117" s="36" t="s">
        <v>528</v>
      </c>
      <c r="E117" s="36"/>
      <c r="F117" s="36"/>
      <c r="G117" s="36"/>
      <c r="H117" s="36"/>
      <c r="I117" s="36"/>
      <c r="J117" s="36"/>
      <c r="K117" s="37">
        <v>3.2370000000000001</v>
      </c>
      <c r="L117" s="37">
        <f>ROUND(20.33,3)</f>
        <v>20.329999999999998</v>
      </c>
      <c r="M117" s="38">
        <f t="shared" si="4"/>
        <v>65.81</v>
      </c>
    </row>
    <row r="118" spans="1:13">
      <c r="A118" s="35" t="s">
        <v>529</v>
      </c>
      <c r="B118" s="35" t="s">
        <v>455</v>
      </c>
      <c r="C118" s="35" t="s">
        <v>456</v>
      </c>
      <c r="D118" s="36" t="s">
        <v>530</v>
      </c>
      <c r="E118" s="36"/>
      <c r="F118" s="36"/>
      <c r="G118" s="36"/>
      <c r="H118" s="36"/>
      <c r="I118" s="36"/>
      <c r="J118" s="36"/>
      <c r="K118" s="37">
        <v>3.2370000000000001</v>
      </c>
      <c r="L118" s="37">
        <f>ROUND(17.32,3)</f>
        <v>17.32</v>
      </c>
      <c r="M118" s="38">
        <f t="shared" si="4"/>
        <v>56.06</v>
      </c>
    </row>
    <row r="119" spans="1:13">
      <c r="A119" s="35" t="s">
        <v>460</v>
      </c>
      <c r="B119" s="35"/>
      <c r="C119" s="35" t="s">
        <v>460</v>
      </c>
      <c r="D119" s="36" t="s">
        <v>461</v>
      </c>
      <c r="E119" s="36"/>
      <c r="F119" s="36"/>
      <c r="G119" s="36"/>
      <c r="H119" s="36"/>
      <c r="I119" s="36"/>
      <c r="J119" s="36"/>
      <c r="K119" s="37">
        <v>2</v>
      </c>
      <c r="L119" s="37">
        <f>ROUND(3356.62,3)</f>
        <v>3356.62</v>
      </c>
      <c r="M119" s="38">
        <f>ROUND((K119*L119)/100,2)</f>
        <v>67.13</v>
      </c>
    </row>
    <row r="120" spans="1:13">
      <c r="A120" s="52"/>
      <c r="B120" s="52"/>
      <c r="C120" s="52"/>
      <c r="D120" s="53" t="s">
        <v>997</v>
      </c>
      <c r="E120" s="52"/>
      <c r="F120" s="52"/>
      <c r="G120" s="52"/>
      <c r="H120" s="52"/>
      <c r="I120" s="52"/>
      <c r="J120" s="52"/>
      <c r="K120" s="54">
        <v>1</v>
      </c>
      <c r="L120" s="55">
        <f>ROUND((M104+M105+M106+M107+M108+M109+M110+M111+M112+M113+M114+M115+M116+M117+M118+M119)*(1+M2/100),2)</f>
        <v>3526.46</v>
      </c>
      <c r="M120" s="55">
        <f>ROUND(K120*L120,2)</f>
        <v>3526.46</v>
      </c>
    </row>
    <row r="121" spans="1:13">
      <c r="A121" s="56" t="s">
        <v>778</v>
      </c>
      <c r="B121" s="57" t="s">
        <v>431</v>
      </c>
      <c r="C121" s="57" t="s">
        <v>3</v>
      </c>
      <c r="D121" s="58" t="s">
        <v>922</v>
      </c>
      <c r="E121" s="58"/>
      <c r="F121" s="58"/>
      <c r="G121" s="58"/>
      <c r="H121" s="58"/>
      <c r="I121" s="58"/>
      <c r="J121" s="58"/>
      <c r="K121" s="59">
        <f>ROUND(1,2)</f>
        <v>1</v>
      </c>
      <c r="L121" s="60">
        <f>L125</f>
        <v>1111.26</v>
      </c>
      <c r="M121" s="60">
        <f>ROUND(K121*L121,2)</f>
        <v>1111.26</v>
      </c>
    </row>
    <row r="122" spans="1:13" ht="45">
      <c r="A122" s="39"/>
      <c r="B122" s="39"/>
      <c r="C122" s="39"/>
      <c r="D122" s="36" t="s">
        <v>780</v>
      </c>
      <c r="E122" s="36"/>
      <c r="F122" s="36"/>
      <c r="G122" s="36"/>
      <c r="H122" s="36"/>
      <c r="I122" s="36"/>
      <c r="J122" s="36"/>
      <c r="K122" s="36"/>
      <c r="L122" s="36"/>
      <c r="M122" s="36"/>
    </row>
    <row r="123" spans="1:13">
      <c r="A123" s="35" t="s">
        <v>781</v>
      </c>
      <c r="B123" s="35" t="s">
        <v>451</v>
      </c>
      <c r="C123" s="35" t="s">
        <v>724</v>
      </c>
      <c r="D123" s="36" t="s">
        <v>782</v>
      </c>
      <c r="E123" s="36"/>
      <c r="F123" s="36"/>
      <c r="G123" s="36"/>
      <c r="H123" s="36"/>
      <c r="I123" s="36"/>
      <c r="J123" s="36"/>
      <c r="K123" s="37">
        <v>1</v>
      </c>
      <c r="L123" s="37">
        <f>ROUND(1073.69,3)</f>
        <v>1073.69</v>
      </c>
      <c r="M123" s="38">
        <f>ROUND(K123*L123,2)</f>
        <v>1073.69</v>
      </c>
    </row>
    <row r="124" spans="1:13">
      <c r="A124" s="35" t="s">
        <v>495</v>
      </c>
      <c r="B124" s="35" t="s">
        <v>455</v>
      </c>
      <c r="C124" s="35" t="s">
        <v>456</v>
      </c>
      <c r="D124" s="36" t="s">
        <v>496</v>
      </c>
      <c r="E124" s="36"/>
      <c r="F124" s="36"/>
      <c r="G124" s="36"/>
      <c r="H124" s="36"/>
      <c r="I124" s="36"/>
      <c r="J124" s="36"/>
      <c r="K124" s="37">
        <v>0.3</v>
      </c>
      <c r="L124" s="37">
        <f>ROUND(17.32,3)</f>
        <v>17.32</v>
      </c>
      <c r="M124" s="38">
        <f>ROUND(K124*L124,2)</f>
        <v>5.2</v>
      </c>
    </row>
    <row r="125" spans="1:13">
      <c r="A125" s="52"/>
      <c r="B125" s="52"/>
      <c r="C125" s="52"/>
      <c r="D125" s="53" t="s">
        <v>778</v>
      </c>
      <c r="E125" s="52"/>
      <c r="F125" s="52"/>
      <c r="G125" s="52"/>
      <c r="H125" s="52"/>
      <c r="I125" s="52"/>
      <c r="J125" s="52"/>
      <c r="K125" s="54">
        <v>1</v>
      </c>
      <c r="L125" s="55">
        <f>ROUND((M123+M124)*(1+M2/100),2)</f>
        <v>1111.26</v>
      </c>
      <c r="M125" s="55">
        <f>ROUND(K125*L125,2)</f>
        <v>1111.26</v>
      </c>
    </row>
    <row r="126" spans="1:13" ht="135">
      <c r="A126" s="56" t="s">
        <v>1012</v>
      </c>
      <c r="B126" s="57" t="s">
        <v>431</v>
      </c>
      <c r="C126" s="57" t="s">
        <v>422</v>
      </c>
      <c r="D126" s="58" t="s">
        <v>1013</v>
      </c>
      <c r="E126" s="58"/>
      <c r="F126" s="58"/>
      <c r="G126" s="58"/>
      <c r="H126" s="58"/>
      <c r="I126" s="58"/>
      <c r="J126" s="58"/>
      <c r="K126" s="59">
        <f>ROUND(1,2)</f>
        <v>1</v>
      </c>
      <c r="L126" s="60">
        <f>L143</f>
        <v>4598.75</v>
      </c>
      <c r="M126" s="60">
        <f>ROUND(K126*L126,2)</f>
        <v>4598.75</v>
      </c>
    </row>
    <row r="127" spans="1:13" ht="180">
      <c r="A127" s="39"/>
      <c r="B127" s="39"/>
      <c r="C127" s="39"/>
      <c r="D127" s="36" t="s">
        <v>1014</v>
      </c>
      <c r="E127" s="36"/>
      <c r="F127" s="36"/>
      <c r="G127" s="36"/>
      <c r="H127" s="36"/>
      <c r="I127" s="36"/>
      <c r="J127" s="36"/>
      <c r="K127" s="36"/>
      <c r="L127" s="36"/>
      <c r="M127" s="36"/>
    </row>
    <row r="128" spans="1:13" ht="112.5">
      <c r="A128" s="35" t="s">
        <v>1015</v>
      </c>
      <c r="B128" s="35" t="s">
        <v>451</v>
      </c>
      <c r="C128" s="35" t="s">
        <v>422</v>
      </c>
      <c r="D128" s="36" t="s">
        <v>1016</v>
      </c>
      <c r="E128" s="36"/>
      <c r="F128" s="36"/>
      <c r="G128" s="36"/>
      <c r="H128" s="36"/>
      <c r="I128" s="36"/>
      <c r="J128" s="36"/>
      <c r="K128" s="37">
        <v>1</v>
      </c>
      <c r="L128" s="37">
        <f>ROUND(3572.31,3)</f>
        <v>3572.31</v>
      </c>
      <c r="M128" s="38">
        <f t="shared" ref="M128:M141" si="5">ROUND(K128*L128,2)</f>
        <v>3572.31</v>
      </c>
    </row>
    <row r="129" spans="1:13" ht="22.5">
      <c r="A129" s="35" t="s">
        <v>1017</v>
      </c>
      <c r="B129" s="35" t="s">
        <v>451</v>
      </c>
      <c r="C129" s="35" t="s">
        <v>422</v>
      </c>
      <c r="D129" s="36" t="s">
        <v>1018</v>
      </c>
      <c r="E129" s="36"/>
      <c r="F129" s="36"/>
      <c r="G129" s="36"/>
      <c r="H129" s="36"/>
      <c r="I129" s="36"/>
      <c r="J129" s="36"/>
      <c r="K129" s="37">
        <v>2</v>
      </c>
      <c r="L129" s="37">
        <f>ROUND(50.29,3)</f>
        <v>50.29</v>
      </c>
      <c r="M129" s="38">
        <f t="shared" si="5"/>
        <v>100.58</v>
      </c>
    </row>
    <row r="130" spans="1:13">
      <c r="A130" s="35" t="s">
        <v>1019</v>
      </c>
      <c r="B130" s="35" t="s">
        <v>451</v>
      </c>
      <c r="C130" s="35" t="s">
        <v>422</v>
      </c>
      <c r="D130" s="36" t="s">
        <v>1020</v>
      </c>
      <c r="E130" s="36"/>
      <c r="F130" s="36"/>
      <c r="G130" s="36"/>
      <c r="H130" s="36"/>
      <c r="I130" s="36"/>
      <c r="J130" s="36"/>
      <c r="K130" s="37">
        <v>2</v>
      </c>
      <c r="L130" s="37">
        <f>ROUND(141.16,3)</f>
        <v>141.16</v>
      </c>
      <c r="M130" s="38">
        <f t="shared" si="5"/>
        <v>282.32</v>
      </c>
    </row>
    <row r="131" spans="1:13" ht="22.5">
      <c r="A131" s="35" t="s">
        <v>1021</v>
      </c>
      <c r="B131" s="35" t="s">
        <v>451</v>
      </c>
      <c r="C131" s="35" t="s">
        <v>422</v>
      </c>
      <c r="D131" s="36" t="s">
        <v>1022</v>
      </c>
      <c r="E131" s="36"/>
      <c r="F131" s="36"/>
      <c r="G131" s="36"/>
      <c r="H131" s="36"/>
      <c r="I131" s="36"/>
      <c r="J131" s="36"/>
      <c r="K131" s="37">
        <v>1</v>
      </c>
      <c r="L131" s="37">
        <f>ROUND(44.89,3)</f>
        <v>44.89</v>
      </c>
      <c r="M131" s="38">
        <f t="shared" si="5"/>
        <v>44.89</v>
      </c>
    </row>
    <row r="132" spans="1:13">
      <c r="A132" s="35" t="s">
        <v>1023</v>
      </c>
      <c r="B132" s="35" t="s">
        <v>451</v>
      </c>
      <c r="C132" s="35" t="s">
        <v>422</v>
      </c>
      <c r="D132" s="36" t="s">
        <v>1024</v>
      </c>
      <c r="E132" s="36"/>
      <c r="F132" s="36"/>
      <c r="G132" s="36"/>
      <c r="H132" s="36"/>
      <c r="I132" s="36"/>
      <c r="J132" s="36"/>
      <c r="K132" s="37">
        <v>1</v>
      </c>
      <c r="L132" s="37">
        <f>ROUND(34.58,3)</f>
        <v>34.58</v>
      </c>
      <c r="M132" s="38">
        <f t="shared" si="5"/>
        <v>34.58</v>
      </c>
    </row>
    <row r="133" spans="1:13" ht="22.5">
      <c r="A133" s="35" t="s">
        <v>1025</v>
      </c>
      <c r="B133" s="35" t="s">
        <v>451</v>
      </c>
      <c r="C133" s="35" t="s">
        <v>422</v>
      </c>
      <c r="D133" s="36" t="s">
        <v>1026</v>
      </c>
      <c r="E133" s="36"/>
      <c r="F133" s="36"/>
      <c r="G133" s="36"/>
      <c r="H133" s="36"/>
      <c r="I133" s="36"/>
      <c r="J133" s="36"/>
      <c r="K133" s="37">
        <v>2</v>
      </c>
      <c r="L133" s="37">
        <f>ROUND(29.15,3)</f>
        <v>29.15</v>
      </c>
      <c r="M133" s="38">
        <f t="shared" si="5"/>
        <v>58.3</v>
      </c>
    </row>
    <row r="134" spans="1:13" ht="22.5">
      <c r="A134" s="35" t="s">
        <v>812</v>
      </c>
      <c r="B134" s="35" t="s">
        <v>451</v>
      </c>
      <c r="C134" s="35" t="s">
        <v>422</v>
      </c>
      <c r="D134" s="36" t="s">
        <v>813</v>
      </c>
      <c r="E134" s="36"/>
      <c r="F134" s="36"/>
      <c r="G134" s="36"/>
      <c r="H134" s="36"/>
      <c r="I134" s="36"/>
      <c r="J134" s="36"/>
      <c r="K134" s="37">
        <v>1</v>
      </c>
      <c r="L134" s="37">
        <f>ROUND(9.147,3)</f>
        <v>9.1470000000000002</v>
      </c>
      <c r="M134" s="38">
        <f t="shared" si="5"/>
        <v>9.15</v>
      </c>
    </row>
    <row r="135" spans="1:13">
      <c r="A135" s="35" t="s">
        <v>989</v>
      </c>
      <c r="B135" s="35" t="s">
        <v>451</v>
      </c>
      <c r="C135" s="35" t="s">
        <v>422</v>
      </c>
      <c r="D135" s="36" t="s">
        <v>990</v>
      </c>
      <c r="E135" s="36"/>
      <c r="F135" s="36"/>
      <c r="G135" s="36"/>
      <c r="H135" s="36"/>
      <c r="I135" s="36"/>
      <c r="J135" s="36"/>
      <c r="K135" s="37">
        <v>2</v>
      </c>
      <c r="L135" s="37">
        <f>ROUND(4.13,3)</f>
        <v>4.13</v>
      </c>
      <c r="M135" s="38">
        <f t="shared" si="5"/>
        <v>8.26</v>
      </c>
    </row>
    <row r="136" spans="1:13" ht="22.5">
      <c r="A136" s="35" t="s">
        <v>991</v>
      </c>
      <c r="B136" s="35" t="s">
        <v>451</v>
      </c>
      <c r="C136" s="35" t="s">
        <v>56</v>
      </c>
      <c r="D136" s="36" t="s">
        <v>992</v>
      </c>
      <c r="E136" s="36"/>
      <c r="F136" s="36"/>
      <c r="G136" s="36"/>
      <c r="H136" s="36"/>
      <c r="I136" s="36"/>
      <c r="J136" s="36"/>
      <c r="K136" s="37">
        <v>0.35</v>
      </c>
      <c r="L136" s="37">
        <f>ROUND(5.08,3)</f>
        <v>5.08</v>
      </c>
      <c r="M136" s="38">
        <f t="shared" si="5"/>
        <v>1.78</v>
      </c>
    </row>
    <row r="137" spans="1:13" ht="45">
      <c r="A137" s="35" t="s">
        <v>993</v>
      </c>
      <c r="B137" s="35" t="s">
        <v>451</v>
      </c>
      <c r="C137" s="35" t="s">
        <v>56</v>
      </c>
      <c r="D137" s="36" t="s">
        <v>994</v>
      </c>
      <c r="E137" s="36"/>
      <c r="F137" s="36"/>
      <c r="G137" s="36"/>
      <c r="H137" s="36"/>
      <c r="I137" s="36"/>
      <c r="J137" s="36"/>
      <c r="K137" s="37">
        <v>3</v>
      </c>
      <c r="L137" s="37">
        <f>ROUND(1.2,3)</f>
        <v>1.2</v>
      </c>
      <c r="M137" s="38">
        <f t="shared" si="5"/>
        <v>3.6</v>
      </c>
    </row>
    <row r="138" spans="1:13" ht="22.5">
      <c r="A138" s="35" t="s">
        <v>531</v>
      </c>
      <c r="B138" s="35" t="s">
        <v>451</v>
      </c>
      <c r="C138" s="35" t="s">
        <v>56</v>
      </c>
      <c r="D138" s="36" t="s">
        <v>532</v>
      </c>
      <c r="E138" s="36"/>
      <c r="F138" s="36"/>
      <c r="G138" s="36"/>
      <c r="H138" s="36"/>
      <c r="I138" s="36"/>
      <c r="J138" s="36"/>
      <c r="K138" s="37">
        <v>9</v>
      </c>
      <c r="L138" s="37">
        <f>ROUND(0.4,3)</f>
        <v>0.4</v>
      </c>
      <c r="M138" s="38">
        <f t="shared" si="5"/>
        <v>3.6</v>
      </c>
    </row>
    <row r="139" spans="1:13">
      <c r="A139" s="35" t="s">
        <v>995</v>
      </c>
      <c r="B139" s="35" t="s">
        <v>451</v>
      </c>
      <c r="C139" s="35" t="s">
        <v>422</v>
      </c>
      <c r="D139" s="36" t="s">
        <v>996</v>
      </c>
      <c r="E139" s="36"/>
      <c r="F139" s="36"/>
      <c r="G139" s="36"/>
      <c r="H139" s="36"/>
      <c r="I139" s="36"/>
      <c r="J139" s="36"/>
      <c r="K139" s="37">
        <v>1</v>
      </c>
      <c r="L139" s="37">
        <f>ROUND(136.02,3)</f>
        <v>136.02000000000001</v>
      </c>
      <c r="M139" s="38">
        <f t="shared" si="5"/>
        <v>136.02000000000001</v>
      </c>
    </row>
    <row r="140" spans="1:13">
      <c r="A140" s="35" t="s">
        <v>527</v>
      </c>
      <c r="B140" s="35" t="s">
        <v>455</v>
      </c>
      <c r="C140" s="35" t="s">
        <v>456</v>
      </c>
      <c r="D140" s="36" t="s">
        <v>528</v>
      </c>
      <c r="E140" s="36"/>
      <c r="F140" s="36"/>
      <c r="G140" s="36"/>
      <c r="H140" s="36"/>
      <c r="I140" s="36"/>
      <c r="J140" s="36"/>
      <c r="K140" s="37">
        <v>3.2370000000000001</v>
      </c>
      <c r="L140" s="37">
        <f>ROUND(20.33,3)</f>
        <v>20.329999999999998</v>
      </c>
      <c r="M140" s="38">
        <f t="shared" si="5"/>
        <v>65.81</v>
      </c>
    </row>
    <row r="141" spans="1:13">
      <c r="A141" s="35" t="s">
        <v>529</v>
      </c>
      <c r="B141" s="35" t="s">
        <v>455</v>
      </c>
      <c r="C141" s="35" t="s">
        <v>456</v>
      </c>
      <c r="D141" s="36" t="s">
        <v>530</v>
      </c>
      <c r="E141" s="36"/>
      <c r="F141" s="36"/>
      <c r="G141" s="36"/>
      <c r="H141" s="36"/>
      <c r="I141" s="36"/>
      <c r="J141" s="36"/>
      <c r="K141" s="37">
        <v>3.2370000000000001</v>
      </c>
      <c r="L141" s="37">
        <f>ROUND(17.32,3)</f>
        <v>17.32</v>
      </c>
      <c r="M141" s="38">
        <f t="shared" si="5"/>
        <v>56.06</v>
      </c>
    </row>
    <row r="142" spans="1:13">
      <c r="A142" s="35" t="s">
        <v>460</v>
      </c>
      <c r="B142" s="35"/>
      <c r="C142" s="35" t="s">
        <v>460</v>
      </c>
      <c r="D142" s="36" t="s">
        <v>461</v>
      </c>
      <c r="E142" s="36"/>
      <c r="F142" s="36"/>
      <c r="G142" s="36"/>
      <c r="H142" s="36"/>
      <c r="I142" s="36"/>
      <c r="J142" s="36"/>
      <c r="K142" s="37">
        <v>2</v>
      </c>
      <c r="L142" s="37">
        <f>ROUND(4377.26,3)</f>
        <v>4377.26</v>
      </c>
      <c r="M142" s="38">
        <f>ROUND((K142*L142)/100,2)</f>
        <v>87.55</v>
      </c>
    </row>
    <row r="143" spans="1:13">
      <c r="A143" s="52"/>
      <c r="B143" s="52"/>
      <c r="C143" s="52"/>
      <c r="D143" s="53" t="s">
        <v>1012</v>
      </c>
      <c r="E143" s="52"/>
      <c r="F143" s="52"/>
      <c r="G143" s="52"/>
      <c r="H143" s="52"/>
      <c r="I143" s="52"/>
      <c r="J143" s="52"/>
      <c r="K143" s="54">
        <v>1</v>
      </c>
      <c r="L143" s="55">
        <f>ROUND((M128+M129+M130+M131+M132+M133+M134+M135+M136+M137+M138+M139+M140+M141+M142)*(1+M2/100),2)</f>
        <v>4598.75</v>
      </c>
      <c r="M143" s="55">
        <f>ROUND(K143*L143,2)</f>
        <v>4598.75</v>
      </c>
    </row>
    <row r="144" spans="1:13">
      <c r="A144" s="79"/>
      <c r="B144" s="79"/>
      <c r="C144" s="79"/>
      <c r="D144" s="83" t="s">
        <v>14</v>
      </c>
      <c r="E144" s="84"/>
      <c r="F144" s="84"/>
      <c r="G144" s="84"/>
      <c r="H144" s="84"/>
      <c r="I144" s="84"/>
      <c r="J144" s="84"/>
      <c r="K144" s="84"/>
      <c r="L144" s="85">
        <f>M6+M10+M20+M30+M35+M48+M60+M64+M68+M83+M102+M121+M126</f>
        <v>54467.41</v>
      </c>
      <c r="M144" s="85">
        <f>ROUND(L144,2)</f>
        <v>54467.41</v>
      </c>
    </row>
    <row r="145" spans="1:13">
      <c r="A145" s="64" t="s">
        <v>99</v>
      </c>
      <c r="B145" s="64" t="s">
        <v>428</v>
      </c>
      <c r="C145" s="65"/>
      <c r="D145" s="66" t="s">
        <v>555</v>
      </c>
      <c r="E145" s="66"/>
      <c r="F145" s="66"/>
      <c r="G145" s="66"/>
      <c r="H145" s="66"/>
      <c r="I145" s="66"/>
      <c r="J145" s="66"/>
      <c r="K145" s="65"/>
      <c r="L145" s="67">
        <f>L571</f>
        <v>95673.87000000001</v>
      </c>
      <c r="M145" s="67">
        <f>ROUND(L145,2)</f>
        <v>95673.87</v>
      </c>
    </row>
    <row r="146" spans="1:13">
      <c r="A146" s="68" t="s">
        <v>556</v>
      </c>
      <c r="B146" s="68" t="s">
        <v>428</v>
      </c>
      <c r="C146" s="69"/>
      <c r="D146" s="70" t="s">
        <v>1027</v>
      </c>
      <c r="E146" s="70"/>
      <c r="F146" s="70"/>
      <c r="G146" s="70"/>
      <c r="H146" s="70"/>
      <c r="I146" s="70"/>
      <c r="J146" s="70"/>
      <c r="K146" s="69"/>
      <c r="L146" s="71">
        <f>L262</f>
        <v>22279.650000000005</v>
      </c>
      <c r="M146" s="71">
        <f>ROUND(L146,2)</f>
        <v>22279.65</v>
      </c>
    </row>
    <row r="147" spans="1:13">
      <c r="A147" s="34" t="s">
        <v>1028</v>
      </c>
      <c r="B147" s="35" t="s">
        <v>431</v>
      </c>
      <c r="C147" s="35" t="s">
        <v>422</v>
      </c>
      <c r="D147" s="36" t="s">
        <v>475</v>
      </c>
      <c r="E147" s="36"/>
      <c r="F147" s="36"/>
      <c r="G147" s="36"/>
      <c r="H147" s="36"/>
      <c r="I147" s="36"/>
      <c r="J147" s="36"/>
      <c r="K147" s="37">
        <f>SUM(K150:K150)</f>
        <v>6</v>
      </c>
      <c r="L147" s="38">
        <f>L156</f>
        <v>14.45</v>
      </c>
      <c r="M147" s="38">
        <f>ROUND(K147*L147,2)</f>
        <v>86.7</v>
      </c>
    </row>
    <row r="148" spans="1:13" ht="56.25">
      <c r="A148" s="39"/>
      <c r="B148" s="39"/>
      <c r="C148" s="39"/>
      <c r="D148" s="36" t="s">
        <v>476</v>
      </c>
      <c r="E148" s="36"/>
      <c r="F148" s="36"/>
      <c r="G148" s="36"/>
      <c r="H148" s="36"/>
      <c r="I148" s="36"/>
      <c r="J148" s="36"/>
      <c r="K148" s="36"/>
      <c r="L148" s="36"/>
      <c r="M148" s="36"/>
    </row>
    <row r="149" spans="1:13">
      <c r="A149" s="39"/>
      <c r="B149" s="39"/>
      <c r="C149" s="39"/>
      <c r="D149" s="39"/>
      <c r="E149" s="40"/>
      <c r="F149" s="41" t="s">
        <v>434</v>
      </c>
      <c r="G149" s="41" t="s">
        <v>435</v>
      </c>
      <c r="H149" s="41" t="s">
        <v>436</v>
      </c>
      <c r="I149" s="41" t="s">
        <v>437</v>
      </c>
      <c r="J149" s="41" t="s">
        <v>438</v>
      </c>
      <c r="K149" s="41" t="s">
        <v>439</v>
      </c>
      <c r="L149" s="39"/>
      <c r="M149" s="39"/>
    </row>
    <row r="150" spans="1:13">
      <c r="A150" s="39"/>
      <c r="B150" s="39"/>
      <c r="C150" s="39"/>
      <c r="D150" s="42"/>
      <c r="E150" s="43" t="s">
        <v>1029</v>
      </c>
      <c r="F150" s="44">
        <v>3</v>
      </c>
      <c r="G150" s="45">
        <v>2</v>
      </c>
      <c r="H150" s="45"/>
      <c r="I150" s="45"/>
      <c r="J150" s="46">
        <f>ROUND(F150*G150,3)</f>
        <v>6</v>
      </c>
      <c r="K150" s="47">
        <f>SUM(J150:J150)</f>
        <v>6</v>
      </c>
      <c r="L150" s="39"/>
      <c r="M150" s="39"/>
    </row>
    <row r="151" spans="1:13">
      <c r="A151" s="35" t="s">
        <v>478</v>
      </c>
      <c r="B151" s="35" t="s">
        <v>451</v>
      </c>
      <c r="C151" s="35" t="s">
        <v>422</v>
      </c>
      <c r="D151" s="36" t="s">
        <v>475</v>
      </c>
      <c r="E151" s="36"/>
      <c r="F151" s="36"/>
      <c r="G151" s="36"/>
      <c r="H151" s="36"/>
      <c r="I151" s="36"/>
      <c r="J151" s="36"/>
      <c r="K151" s="37">
        <v>1</v>
      </c>
      <c r="L151" s="37">
        <f>ROUND(9.81,3)</f>
        <v>9.81</v>
      </c>
      <c r="M151" s="38">
        <f>ROUND(K151*L151,2)</f>
        <v>9.81</v>
      </c>
    </row>
    <row r="152" spans="1:13" ht="22.5">
      <c r="A152" s="35" t="s">
        <v>452</v>
      </c>
      <c r="B152" s="35" t="s">
        <v>451</v>
      </c>
      <c r="C152" s="35" t="s">
        <v>422</v>
      </c>
      <c r="D152" s="36" t="s">
        <v>453</v>
      </c>
      <c r="E152" s="36"/>
      <c r="F152" s="36"/>
      <c r="G152" s="36"/>
      <c r="H152" s="36"/>
      <c r="I152" s="36"/>
      <c r="J152" s="36"/>
      <c r="K152" s="37">
        <v>0.1</v>
      </c>
      <c r="L152" s="37">
        <f>ROUND(2.1,3)</f>
        <v>2.1</v>
      </c>
      <c r="M152" s="38">
        <f>ROUND(K152*L152,2)</f>
        <v>0.21</v>
      </c>
    </row>
    <row r="153" spans="1:13">
      <c r="A153" s="35" t="s">
        <v>454</v>
      </c>
      <c r="B153" s="35" t="s">
        <v>455</v>
      </c>
      <c r="C153" s="35" t="s">
        <v>456</v>
      </c>
      <c r="D153" s="36" t="s">
        <v>457</v>
      </c>
      <c r="E153" s="36"/>
      <c r="F153" s="36"/>
      <c r="G153" s="36"/>
      <c r="H153" s="36"/>
      <c r="I153" s="36"/>
      <c r="J153" s="36"/>
      <c r="K153" s="37">
        <v>0.11</v>
      </c>
      <c r="L153" s="37">
        <f>ROUND(17.82,3)</f>
        <v>17.82</v>
      </c>
      <c r="M153" s="38">
        <f>ROUND(K153*L153,2)</f>
        <v>1.96</v>
      </c>
    </row>
    <row r="154" spans="1:13">
      <c r="A154" s="35" t="s">
        <v>458</v>
      </c>
      <c r="B154" s="35" t="s">
        <v>455</v>
      </c>
      <c r="C154" s="35" t="s">
        <v>456</v>
      </c>
      <c r="D154" s="36" t="s">
        <v>459</v>
      </c>
      <c r="E154" s="36"/>
      <c r="F154" s="36"/>
      <c r="G154" s="36"/>
      <c r="H154" s="36"/>
      <c r="I154" s="36"/>
      <c r="J154" s="36"/>
      <c r="K154" s="37">
        <v>0.11</v>
      </c>
      <c r="L154" s="37">
        <f>ROUND(16.1,3)</f>
        <v>16.100000000000001</v>
      </c>
      <c r="M154" s="38">
        <f>ROUND(K154*L154,2)</f>
        <v>1.77</v>
      </c>
    </row>
    <row r="155" spans="1:13">
      <c r="A155" s="35" t="s">
        <v>460</v>
      </c>
      <c r="B155" s="35"/>
      <c r="C155" s="35" t="s">
        <v>460</v>
      </c>
      <c r="D155" s="36" t="s">
        <v>461</v>
      </c>
      <c r="E155" s="36"/>
      <c r="F155" s="36"/>
      <c r="G155" s="36"/>
      <c r="H155" s="36"/>
      <c r="I155" s="36"/>
      <c r="J155" s="36"/>
      <c r="K155" s="37">
        <v>2</v>
      </c>
      <c r="L155" s="37">
        <f>ROUND(13.75,3)</f>
        <v>13.75</v>
      </c>
      <c r="M155" s="38">
        <f>ROUND((K155*L155)/100,2)</f>
        <v>0.28000000000000003</v>
      </c>
    </row>
    <row r="156" spans="1:13">
      <c r="A156" s="52"/>
      <c r="B156" s="52"/>
      <c r="C156" s="52"/>
      <c r="D156" s="53" t="s">
        <v>1028</v>
      </c>
      <c r="E156" s="52"/>
      <c r="F156" s="52"/>
      <c r="G156" s="52"/>
      <c r="H156" s="52"/>
      <c r="I156" s="52"/>
      <c r="J156" s="52"/>
      <c r="K156" s="54">
        <v>6</v>
      </c>
      <c r="L156" s="55">
        <f>ROUND((M151+M152+M153+M154+M155)*(1+M2/100),2)</f>
        <v>14.45</v>
      </c>
      <c r="M156" s="55">
        <f>ROUND(K156*L156,2)</f>
        <v>86.7</v>
      </c>
    </row>
    <row r="157" spans="1:13">
      <c r="A157" s="56" t="s">
        <v>578</v>
      </c>
      <c r="B157" s="57" t="s">
        <v>431</v>
      </c>
      <c r="C157" s="57" t="s">
        <v>422</v>
      </c>
      <c r="D157" s="58" t="s">
        <v>579</v>
      </c>
      <c r="E157" s="58"/>
      <c r="F157" s="58"/>
      <c r="G157" s="58"/>
      <c r="H157" s="58"/>
      <c r="I157" s="58"/>
      <c r="J157" s="58"/>
      <c r="K157" s="59">
        <f>SUM(K160:K161)</f>
        <v>4</v>
      </c>
      <c r="L157" s="60">
        <f>L167</f>
        <v>26.8</v>
      </c>
      <c r="M157" s="60">
        <f>ROUND(K157*L157,2)</f>
        <v>107.2</v>
      </c>
    </row>
    <row r="158" spans="1:13" ht="56.25">
      <c r="A158" s="39"/>
      <c r="B158" s="39"/>
      <c r="C158" s="39"/>
      <c r="D158" s="36" t="s">
        <v>580</v>
      </c>
      <c r="E158" s="36"/>
      <c r="F158" s="36"/>
      <c r="G158" s="36"/>
      <c r="H158" s="36"/>
      <c r="I158" s="36"/>
      <c r="J158" s="36"/>
      <c r="K158" s="36"/>
      <c r="L158" s="36"/>
      <c r="M158" s="36"/>
    </row>
    <row r="159" spans="1:13">
      <c r="A159" s="39"/>
      <c r="B159" s="39"/>
      <c r="C159" s="39"/>
      <c r="D159" s="39"/>
      <c r="E159" s="40"/>
      <c r="F159" s="41" t="s">
        <v>434</v>
      </c>
      <c r="G159" s="41" t="s">
        <v>435</v>
      </c>
      <c r="H159" s="41" t="s">
        <v>436</v>
      </c>
      <c r="I159" s="41" t="s">
        <v>437</v>
      </c>
      <c r="J159" s="41" t="s">
        <v>438</v>
      </c>
      <c r="K159" s="41" t="s">
        <v>439</v>
      </c>
      <c r="L159" s="39"/>
      <c r="M159" s="39"/>
    </row>
    <row r="160" spans="1:13" ht="22.5">
      <c r="A160" s="39"/>
      <c r="B160" s="39"/>
      <c r="C160" s="39"/>
      <c r="D160" s="42"/>
      <c r="E160" s="43" t="s">
        <v>1030</v>
      </c>
      <c r="F160" s="44">
        <v>2</v>
      </c>
      <c r="G160" s="45"/>
      <c r="H160" s="45"/>
      <c r="I160" s="45"/>
      <c r="J160" s="46">
        <f>ROUND(F160,3)</f>
        <v>2</v>
      </c>
      <c r="K160" s="48"/>
      <c r="L160" s="39"/>
      <c r="M160" s="39"/>
    </row>
    <row r="161" spans="1:13" ht="22.5">
      <c r="A161" s="39"/>
      <c r="B161" s="39"/>
      <c r="C161" s="39"/>
      <c r="D161" s="42"/>
      <c r="E161" s="35" t="s">
        <v>1031</v>
      </c>
      <c r="F161" s="49">
        <v>2</v>
      </c>
      <c r="G161" s="37"/>
      <c r="H161" s="37"/>
      <c r="I161" s="37"/>
      <c r="J161" s="50">
        <f>ROUND(F161,3)</f>
        <v>2</v>
      </c>
      <c r="K161" s="51">
        <f>SUM(J160:J161)</f>
        <v>4</v>
      </c>
      <c r="L161" s="39"/>
      <c r="M161" s="39"/>
    </row>
    <row r="162" spans="1:13">
      <c r="A162" s="35" t="s">
        <v>583</v>
      </c>
      <c r="B162" s="35" t="s">
        <v>451</v>
      </c>
      <c r="C162" s="35" t="s">
        <v>422</v>
      </c>
      <c r="D162" s="36" t="s">
        <v>579</v>
      </c>
      <c r="E162" s="36"/>
      <c r="F162" s="36"/>
      <c r="G162" s="36"/>
      <c r="H162" s="36"/>
      <c r="I162" s="36"/>
      <c r="J162" s="36"/>
      <c r="K162" s="37">
        <v>1</v>
      </c>
      <c r="L162" s="37">
        <f>ROUND(21.57,3)</f>
        <v>21.57</v>
      </c>
      <c r="M162" s="38">
        <f>ROUND(K162*L162,2)</f>
        <v>21.57</v>
      </c>
    </row>
    <row r="163" spans="1:13" ht="22.5">
      <c r="A163" s="35" t="s">
        <v>452</v>
      </c>
      <c r="B163" s="35" t="s">
        <v>451</v>
      </c>
      <c r="C163" s="35" t="s">
        <v>422</v>
      </c>
      <c r="D163" s="36" t="s">
        <v>453</v>
      </c>
      <c r="E163" s="36"/>
      <c r="F163" s="36"/>
      <c r="G163" s="36"/>
      <c r="H163" s="36"/>
      <c r="I163" s="36"/>
      <c r="J163" s="36"/>
      <c r="K163" s="37">
        <v>0.1</v>
      </c>
      <c r="L163" s="37">
        <f>ROUND(2.1,3)</f>
        <v>2.1</v>
      </c>
      <c r="M163" s="38">
        <f>ROUND(K163*L163,2)</f>
        <v>0.21</v>
      </c>
    </row>
    <row r="164" spans="1:13">
      <c r="A164" s="35" t="s">
        <v>454</v>
      </c>
      <c r="B164" s="35" t="s">
        <v>455</v>
      </c>
      <c r="C164" s="35" t="s">
        <v>456</v>
      </c>
      <c r="D164" s="36" t="s">
        <v>457</v>
      </c>
      <c r="E164" s="36"/>
      <c r="F164" s="36"/>
      <c r="G164" s="36"/>
      <c r="H164" s="36"/>
      <c r="I164" s="36"/>
      <c r="J164" s="36"/>
      <c r="K164" s="37">
        <v>0.11</v>
      </c>
      <c r="L164" s="37">
        <f>ROUND(17.82,3)</f>
        <v>17.82</v>
      </c>
      <c r="M164" s="38">
        <f>ROUND(K164*L164,2)</f>
        <v>1.96</v>
      </c>
    </row>
    <row r="165" spans="1:13">
      <c r="A165" s="35" t="s">
        <v>458</v>
      </c>
      <c r="B165" s="35" t="s">
        <v>455</v>
      </c>
      <c r="C165" s="35" t="s">
        <v>456</v>
      </c>
      <c r="D165" s="36" t="s">
        <v>459</v>
      </c>
      <c r="E165" s="36"/>
      <c r="F165" s="36"/>
      <c r="G165" s="36"/>
      <c r="H165" s="36"/>
      <c r="I165" s="36"/>
      <c r="J165" s="36"/>
      <c r="K165" s="37">
        <v>0.11</v>
      </c>
      <c r="L165" s="37">
        <f>ROUND(16.1,3)</f>
        <v>16.100000000000001</v>
      </c>
      <c r="M165" s="38">
        <f>ROUND(K165*L165,2)</f>
        <v>1.77</v>
      </c>
    </row>
    <row r="166" spans="1:13">
      <c r="A166" s="35" t="s">
        <v>460</v>
      </c>
      <c r="B166" s="35"/>
      <c r="C166" s="35" t="s">
        <v>460</v>
      </c>
      <c r="D166" s="36" t="s">
        <v>461</v>
      </c>
      <c r="E166" s="36"/>
      <c r="F166" s="36"/>
      <c r="G166" s="36"/>
      <c r="H166" s="36"/>
      <c r="I166" s="36"/>
      <c r="J166" s="36"/>
      <c r="K166" s="37">
        <v>2</v>
      </c>
      <c r="L166" s="37">
        <f>ROUND(25.51,3)</f>
        <v>25.51</v>
      </c>
      <c r="M166" s="38">
        <f>ROUND((K166*L166)/100,2)</f>
        <v>0.51</v>
      </c>
    </row>
    <row r="167" spans="1:13">
      <c r="A167" s="52"/>
      <c r="B167" s="52"/>
      <c r="C167" s="52"/>
      <c r="D167" s="53" t="s">
        <v>578</v>
      </c>
      <c r="E167" s="52"/>
      <c r="F167" s="52"/>
      <c r="G167" s="52"/>
      <c r="H167" s="52"/>
      <c r="I167" s="52"/>
      <c r="J167" s="52"/>
      <c r="K167" s="54">
        <v>4</v>
      </c>
      <c r="L167" s="55">
        <f>ROUND((M162+M163+M164+M165+M166)*(1+M2/100),2)</f>
        <v>26.8</v>
      </c>
      <c r="M167" s="55">
        <f>ROUND(K167*L167,2)</f>
        <v>107.2</v>
      </c>
    </row>
    <row r="168" spans="1:13">
      <c r="A168" s="56" t="s">
        <v>584</v>
      </c>
      <c r="B168" s="57" t="s">
        <v>431</v>
      </c>
      <c r="C168" s="57" t="s">
        <v>3</v>
      </c>
      <c r="D168" s="58" t="s">
        <v>585</v>
      </c>
      <c r="E168" s="58"/>
      <c r="F168" s="58"/>
      <c r="G168" s="58"/>
      <c r="H168" s="58"/>
      <c r="I168" s="58"/>
      <c r="J168" s="58"/>
      <c r="K168" s="59">
        <f>SUM(K171:K172)</f>
        <v>2</v>
      </c>
      <c r="L168" s="60">
        <f>ROUND(385*(1+M2/100),2)</f>
        <v>396.55</v>
      </c>
      <c r="M168" s="60">
        <f>ROUND(K168*L168,2)</f>
        <v>793.1</v>
      </c>
    </row>
    <row r="169" spans="1:13">
      <c r="A169" s="39"/>
      <c r="B169" s="39"/>
      <c r="C169" s="39"/>
      <c r="D169" s="36" t="s">
        <v>586</v>
      </c>
      <c r="E169" s="36"/>
      <c r="F169" s="36"/>
      <c r="G169" s="36"/>
      <c r="H169" s="36"/>
      <c r="I169" s="36"/>
      <c r="J169" s="36"/>
      <c r="K169" s="36"/>
      <c r="L169" s="36"/>
      <c r="M169" s="36"/>
    </row>
    <row r="170" spans="1:13">
      <c r="A170" s="39"/>
      <c r="B170" s="39"/>
      <c r="C170" s="39"/>
      <c r="D170" s="39"/>
      <c r="E170" s="40"/>
      <c r="F170" s="41" t="s">
        <v>434</v>
      </c>
      <c r="G170" s="41" t="s">
        <v>435</v>
      </c>
      <c r="H170" s="41" t="s">
        <v>436</v>
      </c>
      <c r="I170" s="41" t="s">
        <v>437</v>
      </c>
      <c r="J170" s="41" t="s">
        <v>438</v>
      </c>
      <c r="K170" s="41" t="s">
        <v>439</v>
      </c>
      <c r="L170" s="39"/>
      <c r="M170" s="39"/>
    </row>
    <row r="171" spans="1:13">
      <c r="A171" s="39"/>
      <c r="B171" s="39"/>
      <c r="C171" s="39"/>
      <c r="D171" s="42"/>
      <c r="E171" s="43"/>
      <c r="F171" s="44">
        <v>1</v>
      </c>
      <c r="G171" s="45"/>
      <c r="H171" s="45"/>
      <c r="I171" s="45"/>
      <c r="J171" s="46">
        <f>ROUND(F171,3)</f>
        <v>1</v>
      </c>
      <c r="K171" s="48"/>
      <c r="L171" s="39"/>
      <c r="M171" s="39"/>
    </row>
    <row r="172" spans="1:13">
      <c r="A172" s="39"/>
      <c r="B172" s="39"/>
      <c r="C172" s="39"/>
      <c r="D172" s="42"/>
      <c r="E172" s="35"/>
      <c r="F172" s="49">
        <v>1</v>
      </c>
      <c r="G172" s="37"/>
      <c r="H172" s="37"/>
      <c r="I172" s="37"/>
      <c r="J172" s="50">
        <f>ROUND(F172,3)</f>
        <v>1</v>
      </c>
      <c r="K172" s="51">
        <f>SUM(J171:J172)</f>
        <v>2</v>
      </c>
      <c r="L172" s="39"/>
      <c r="M172" s="39"/>
    </row>
    <row r="173" spans="1:13">
      <c r="A173" s="34" t="s">
        <v>622</v>
      </c>
      <c r="B173" s="35" t="s">
        <v>431</v>
      </c>
      <c r="C173" s="35" t="s">
        <v>3</v>
      </c>
      <c r="D173" s="36" t="s">
        <v>623</v>
      </c>
      <c r="E173" s="36"/>
      <c r="F173" s="36"/>
      <c r="G173" s="36"/>
      <c r="H173" s="36"/>
      <c r="I173" s="36"/>
      <c r="J173" s="36"/>
      <c r="K173" s="37">
        <f>SUM(K176:K177)</f>
        <v>7</v>
      </c>
      <c r="L173" s="38">
        <f>L182</f>
        <v>1595.6</v>
      </c>
      <c r="M173" s="38">
        <f>ROUND(K173*L173,2)</f>
        <v>11169.2</v>
      </c>
    </row>
    <row r="174" spans="1:13">
      <c r="A174" s="39"/>
      <c r="B174" s="39"/>
      <c r="C174" s="39"/>
      <c r="D174" s="36" t="s">
        <v>624</v>
      </c>
      <c r="E174" s="36"/>
      <c r="F174" s="36"/>
      <c r="G174" s="36"/>
      <c r="H174" s="36"/>
      <c r="I174" s="36"/>
      <c r="J174" s="36"/>
      <c r="K174" s="36"/>
      <c r="L174" s="36"/>
      <c r="M174" s="36"/>
    </row>
    <row r="175" spans="1:13">
      <c r="A175" s="39"/>
      <c r="B175" s="39"/>
      <c r="C175" s="39"/>
      <c r="D175" s="39"/>
      <c r="E175" s="40"/>
      <c r="F175" s="41" t="s">
        <v>434</v>
      </c>
      <c r="G175" s="41" t="s">
        <v>435</v>
      </c>
      <c r="H175" s="41" t="s">
        <v>436</v>
      </c>
      <c r="I175" s="41" t="s">
        <v>437</v>
      </c>
      <c r="J175" s="41" t="s">
        <v>438</v>
      </c>
      <c r="K175" s="41" t="s">
        <v>439</v>
      </c>
      <c r="L175" s="39"/>
      <c r="M175" s="39"/>
    </row>
    <row r="176" spans="1:13">
      <c r="A176" s="39"/>
      <c r="B176" s="39"/>
      <c r="C176" s="39"/>
      <c r="D176" s="42"/>
      <c r="E176" s="43" t="s">
        <v>1032</v>
      </c>
      <c r="F176" s="44">
        <v>3</v>
      </c>
      <c r="G176" s="45"/>
      <c r="H176" s="45"/>
      <c r="I176" s="45"/>
      <c r="J176" s="46">
        <f>ROUND(F176,3)</f>
        <v>3</v>
      </c>
      <c r="K176" s="48"/>
      <c r="L176" s="39"/>
      <c r="M176" s="39"/>
    </row>
    <row r="177" spans="1:13">
      <c r="A177" s="39"/>
      <c r="B177" s="39"/>
      <c r="C177" s="39"/>
      <c r="D177" s="42"/>
      <c r="E177" s="35" t="s">
        <v>1033</v>
      </c>
      <c r="F177" s="49">
        <v>4</v>
      </c>
      <c r="G177" s="37"/>
      <c r="H177" s="37"/>
      <c r="I177" s="37"/>
      <c r="J177" s="50">
        <f>ROUND(F177,3)</f>
        <v>4</v>
      </c>
      <c r="K177" s="51">
        <f>SUM(J176:J177)</f>
        <v>7</v>
      </c>
      <c r="L177" s="39"/>
      <c r="M177" s="39"/>
    </row>
    <row r="178" spans="1:13">
      <c r="A178" s="35" t="s">
        <v>529</v>
      </c>
      <c r="B178" s="35" t="s">
        <v>455</v>
      </c>
      <c r="C178" s="35" t="s">
        <v>456</v>
      </c>
      <c r="D178" s="36" t="s">
        <v>530</v>
      </c>
      <c r="E178" s="36"/>
      <c r="F178" s="36"/>
      <c r="G178" s="36"/>
      <c r="H178" s="36"/>
      <c r="I178" s="36"/>
      <c r="J178" s="36"/>
      <c r="K178" s="37">
        <v>0.88</v>
      </c>
      <c r="L178" s="37">
        <f>ROUND(17.32,3)</f>
        <v>17.32</v>
      </c>
      <c r="M178" s="38">
        <f t="shared" ref="M178:M183" si="6">ROUND(K178*L178,2)</f>
        <v>15.24</v>
      </c>
    </row>
    <row r="179" spans="1:13">
      <c r="A179" s="35" t="s">
        <v>527</v>
      </c>
      <c r="B179" s="35" t="s">
        <v>455</v>
      </c>
      <c r="C179" s="35" t="s">
        <v>456</v>
      </c>
      <c r="D179" s="36" t="s">
        <v>528</v>
      </c>
      <c r="E179" s="36"/>
      <c r="F179" s="36"/>
      <c r="G179" s="36"/>
      <c r="H179" s="36"/>
      <c r="I179" s="36"/>
      <c r="J179" s="36"/>
      <c r="K179" s="37">
        <v>0.88</v>
      </c>
      <c r="L179" s="37">
        <f>ROUND(20.33,3)</f>
        <v>20.329999999999998</v>
      </c>
      <c r="M179" s="38">
        <f t="shared" si="6"/>
        <v>17.89</v>
      </c>
    </row>
    <row r="180" spans="1:13">
      <c r="A180" s="35" t="s">
        <v>625</v>
      </c>
      <c r="B180" s="35" t="s">
        <v>451</v>
      </c>
      <c r="C180" s="35" t="s">
        <v>3</v>
      </c>
      <c r="D180" s="36" t="s">
        <v>626</v>
      </c>
      <c r="E180" s="36"/>
      <c r="F180" s="36"/>
      <c r="G180" s="36"/>
      <c r="H180" s="36"/>
      <c r="I180" s="36"/>
      <c r="J180" s="36"/>
      <c r="K180" s="37">
        <v>1</v>
      </c>
      <c r="L180" s="37">
        <f>ROUND(1512.4,3)</f>
        <v>1512.4</v>
      </c>
      <c r="M180" s="38">
        <f t="shared" si="6"/>
        <v>1512.4</v>
      </c>
    </row>
    <row r="181" spans="1:13" ht="22.5">
      <c r="A181" s="35" t="s">
        <v>531</v>
      </c>
      <c r="B181" s="35" t="s">
        <v>451</v>
      </c>
      <c r="C181" s="35" t="s">
        <v>56</v>
      </c>
      <c r="D181" s="36" t="s">
        <v>532</v>
      </c>
      <c r="E181" s="36"/>
      <c r="F181" s="36"/>
      <c r="G181" s="36"/>
      <c r="H181" s="36"/>
      <c r="I181" s="36"/>
      <c r="J181" s="36"/>
      <c r="K181" s="37">
        <v>9</v>
      </c>
      <c r="L181" s="37">
        <f>ROUND(0.4,3)</f>
        <v>0.4</v>
      </c>
      <c r="M181" s="38">
        <f t="shared" si="6"/>
        <v>3.6</v>
      </c>
    </row>
    <row r="182" spans="1:13">
      <c r="A182" s="52"/>
      <c r="B182" s="52"/>
      <c r="C182" s="52"/>
      <c r="D182" s="53" t="s">
        <v>622</v>
      </c>
      <c r="E182" s="52"/>
      <c r="F182" s="52"/>
      <c r="G182" s="52"/>
      <c r="H182" s="52"/>
      <c r="I182" s="52"/>
      <c r="J182" s="52"/>
      <c r="K182" s="54">
        <v>7</v>
      </c>
      <c r="L182" s="55">
        <f>ROUND((M178+M179+M180+M181)*(1+M2/100),2)</f>
        <v>1595.6</v>
      </c>
      <c r="M182" s="55">
        <f t="shared" si="6"/>
        <v>11169.2</v>
      </c>
    </row>
    <row r="183" spans="1:13">
      <c r="A183" s="56" t="s">
        <v>627</v>
      </c>
      <c r="B183" s="57" t="s">
        <v>431</v>
      </c>
      <c r="C183" s="57" t="s">
        <v>3</v>
      </c>
      <c r="D183" s="58" t="s">
        <v>629</v>
      </c>
      <c r="E183" s="58"/>
      <c r="F183" s="58"/>
      <c r="G183" s="58"/>
      <c r="H183" s="58"/>
      <c r="I183" s="58"/>
      <c r="J183" s="58"/>
      <c r="K183" s="59">
        <f>SUM(K186:K187)</f>
        <v>7</v>
      </c>
      <c r="L183" s="60">
        <f>L191</f>
        <v>191.31</v>
      </c>
      <c r="M183" s="60">
        <f t="shared" si="6"/>
        <v>1339.17</v>
      </c>
    </row>
    <row r="184" spans="1:13">
      <c r="A184" s="39"/>
      <c r="B184" s="39"/>
      <c r="C184" s="39"/>
      <c r="D184" s="36" t="s">
        <v>629</v>
      </c>
      <c r="E184" s="36"/>
      <c r="F184" s="36"/>
      <c r="G184" s="36"/>
      <c r="H184" s="36"/>
      <c r="I184" s="36"/>
      <c r="J184" s="36"/>
      <c r="K184" s="36"/>
      <c r="L184" s="36"/>
      <c r="M184" s="36"/>
    </row>
    <row r="185" spans="1:13">
      <c r="A185" s="39"/>
      <c r="B185" s="39"/>
      <c r="C185" s="39"/>
      <c r="D185" s="39"/>
      <c r="E185" s="40"/>
      <c r="F185" s="41" t="s">
        <v>434</v>
      </c>
      <c r="G185" s="41" t="s">
        <v>435</v>
      </c>
      <c r="H185" s="41" t="s">
        <v>436</v>
      </c>
      <c r="I185" s="41" t="s">
        <v>437</v>
      </c>
      <c r="J185" s="41" t="s">
        <v>438</v>
      </c>
      <c r="K185" s="41" t="s">
        <v>439</v>
      </c>
      <c r="L185" s="39"/>
      <c r="M185" s="39"/>
    </row>
    <row r="186" spans="1:13">
      <c r="A186" s="39"/>
      <c r="B186" s="39"/>
      <c r="C186" s="39"/>
      <c r="D186" s="42"/>
      <c r="E186" s="43" t="s">
        <v>1032</v>
      </c>
      <c r="F186" s="44">
        <v>3</v>
      </c>
      <c r="G186" s="45"/>
      <c r="H186" s="45"/>
      <c r="I186" s="45"/>
      <c r="J186" s="46">
        <f>ROUND(F186,3)</f>
        <v>3</v>
      </c>
      <c r="K186" s="48"/>
      <c r="L186" s="39"/>
      <c r="M186" s="39"/>
    </row>
    <row r="187" spans="1:13">
      <c r="A187" s="39"/>
      <c r="B187" s="39"/>
      <c r="C187" s="39"/>
      <c r="D187" s="42"/>
      <c r="E187" s="35" t="s">
        <v>1033</v>
      </c>
      <c r="F187" s="49">
        <v>4</v>
      </c>
      <c r="G187" s="37"/>
      <c r="H187" s="37"/>
      <c r="I187" s="37"/>
      <c r="J187" s="50">
        <f>ROUND(F187,3)</f>
        <v>4</v>
      </c>
      <c r="K187" s="51">
        <f>SUM(J186:J187)</f>
        <v>7</v>
      </c>
      <c r="L187" s="39"/>
      <c r="M187" s="39"/>
    </row>
    <row r="188" spans="1:13">
      <c r="A188" s="35" t="s">
        <v>529</v>
      </c>
      <c r="B188" s="35" t="s">
        <v>455</v>
      </c>
      <c r="C188" s="35" t="s">
        <v>456</v>
      </c>
      <c r="D188" s="36" t="s">
        <v>530</v>
      </c>
      <c r="E188" s="36"/>
      <c r="F188" s="36"/>
      <c r="G188" s="36"/>
      <c r="H188" s="36"/>
      <c r="I188" s="36"/>
      <c r="J188" s="36"/>
      <c r="K188" s="37">
        <v>1</v>
      </c>
      <c r="L188" s="37">
        <f>ROUND(17.32,3)</f>
        <v>17.32</v>
      </c>
      <c r="M188" s="38">
        <f>ROUND(K188*L188,2)</f>
        <v>17.32</v>
      </c>
    </row>
    <row r="189" spans="1:13">
      <c r="A189" s="35" t="s">
        <v>458</v>
      </c>
      <c r="B189" s="35" t="s">
        <v>455</v>
      </c>
      <c r="C189" s="35" t="s">
        <v>456</v>
      </c>
      <c r="D189" s="36" t="s">
        <v>459</v>
      </c>
      <c r="E189" s="36"/>
      <c r="F189" s="36"/>
      <c r="G189" s="36"/>
      <c r="H189" s="36"/>
      <c r="I189" s="36"/>
      <c r="J189" s="36"/>
      <c r="K189" s="37">
        <v>1</v>
      </c>
      <c r="L189" s="37">
        <f>ROUND(16.1,3)</f>
        <v>16.100000000000001</v>
      </c>
      <c r="M189" s="38">
        <f>ROUND(K189*L189,2)</f>
        <v>16.100000000000001</v>
      </c>
    </row>
    <row r="190" spans="1:13">
      <c r="A190" s="35" t="s">
        <v>630</v>
      </c>
      <c r="B190" s="35" t="s">
        <v>451</v>
      </c>
      <c r="C190" s="35" t="s">
        <v>3</v>
      </c>
      <c r="D190" s="36" t="s">
        <v>631</v>
      </c>
      <c r="E190" s="36"/>
      <c r="F190" s="36"/>
      <c r="G190" s="36"/>
      <c r="H190" s="36"/>
      <c r="I190" s="36"/>
      <c r="J190" s="36"/>
      <c r="K190" s="37">
        <v>1</v>
      </c>
      <c r="L190" s="37">
        <f>ROUND(152.32,3)</f>
        <v>152.32</v>
      </c>
      <c r="M190" s="38">
        <f>ROUND(K190*L190,2)</f>
        <v>152.32</v>
      </c>
    </row>
    <row r="191" spans="1:13">
      <c r="A191" s="52"/>
      <c r="B191" s="52"/>
      <c r="C191" s="52"/>
      <c r="D191" s="53" t="s">
        <v>627</v>
      </c>
      <c r="E191" s="52"/>
      <c r="F191" s="52"/>
      <c r="G191" s="52"/>
      <c r="H191" s="52"/>
      <c r="I191" s="52"/>
      <c r="J191" s="52"/>
      <c r="K191" s="54">
        <v>7</v>
      </c>
      <c r="L191" s="55">
        <f>ROUND((M188+M189+M190)*(1+M2/100),2)</f>
        <v>191.31</v>
      </c>
      <c r="M191" s="55">
        <f>ROUND(K191*L191,2)</f>
        <v>1339.17</v>
      </c>
    </row>
    <row r="192" spans="1:13">
      <c r="A192" s="56" t="s">
        <v>632</v>
      </c>
      <c r="B192" s="57" t="s">
        <v>431</v>
      </c>
      <c r="C192" s="57" t="s">
        <v>422</v>
      </c>
      <c r="D192" s="58" t="s">
        <v>1034</v>
      </c>
      <c r="E192" s="58"/>
      <c r="F192" s="58"/>
      <c r="G192" s="58"/>
      <c r="H192" s="58"/>
      <c r="I192" s="58"/>
      <c r="J192" s="58"/>
      <c r="K192" s="59">
        <f>ROUND(7,2)</f>
        <v>7</v>
      </c>
      <c r="L192" s="60">
        <f>L197</f>
        <v>47.15</v>
      </c>
      <c r="M192" s="60">
        <f>ROUND(K192*L192,2)</f>
        <v>330.05</v>
      </c>
    </row>
    <row r="193" spans="1:13" ht="67.5">
      <c r="A193" s="39"/>
      <c r="B193" s="39"/>
      <c r="C193" s="39"/>
      <c r="D193" s="36" t="s">
        <v>634</v>
      </c>
      <c r="E193" s="36"/>
      <c r="F193" s="36"/>
      <c r="G193" s="36"/>
      <c r="H193" s="36"/>
      <c r="I193" s="36"/>
      <c r="J193" s="36"/>
      <c r="K193" s="36"/>
      <c r="L193" s="36"/>
      <c r="M193" s="36"/>
    </row>
    <row r="194" spans="1:13" ht="22.5">
      <c r="A194" s="35" t="s">
        <v>635</v>
      </c>
      <c r="B194" s="35" t="s">
        <v>451</v>
      </c>
      <c r="C194" s="35" t="s">
        <v>422</v>
      </c>
      <c r="D194" s="36" t="s">
        <v>636</v>
      </c>
      <c r="E194" s="36"/>
      <c r="F194" s="36"/>
      <c r="G194" s="36"/>
      <c r="H194" s="36"/>
      <c r="I194" s="36"/>
      <c r="J194" s="36"/>
      <c r="K194" s="37">
        <v>1</v>
      </c>
      <c r="L194" s="37">
        <f>ROUND(39.29,3)</f>
        <v>39.29</v>
      </c>
      <c r="M194" s="38">
        <f>ROUND(K194*L194,2)</f>
        <v>39.29</v>
      </c>
    </row>
    <row r="195" spans="1:13">
      <c r="A195" s="35" t="s">
        <v>493</v>
      </c>
      <c r="B195" s="35" t="s">
        <v>455</v>
      </c>
      <c r="C195" s="35" t="s">
        <v>456</v>
      </c>
      <c r="D195" s="36" t="s">
        <v>494</v>
      </c>
      <c r="E195" s="36"/>
      <c r="F195" s="36"/>
      <c r="G195" s="36"/>
      <c r="H195" s="36"/>
      <c r="I195" s="36"/>
      <c r="J195" s="36"/>
      <c r="K195" s="37">
        <v>0.27500000000000002</v>
      </c>
      <c r="L195" s="37">
        <f>ROUND(20.33,3)</f>
        <v>20.329999999999998</v>
      </c>
      <c r="M195" s="38">
        <f>ROUND(K195*L195,2)</f>
        <v>5.59</v>
      </c>
    </row>
    <row r="196" spans="1:13">
      <c r="A196" s="35" t="s">
        <v>460</v>
      </c>
      <c r="B196" s="35"/>
      <c r="C196" s="35" t="s">
        <v>460</v>
      </c>
      <c r="D196" s="36" t="s">
        <v>461</v>
      </c>
      <c r="E196" s="36"/>
      <c r="F196" s="36"/>
      <c r="G196" s="36"/>
      <c r="H196" s="36"/>
      <c r="I196" s="36"/>
      <c r="J196" s="36"/>
      <c r="K196" s="37">
        <v>2</v>
      </c>
      <c r="L196" s="37">
        <f>ROUND(44.88,3)</f>
        <v>44.88</v>
      </c>
      <c r="M196" s="38">
        <f>ROUND((K196*L196)/100,2)</f>
        <v>0.9</v>
      </c>
    </row>
    <row r="197" spans="1:13">
      <c r="A197" s="52"/>
      <c r="B197" s="52"/>
      <c r="C197" s="52"/>
      <c r="D197" s="53" t="s">
        <v>632</v>
      </c>
      <c r="E197" s="52"/>
      <c r="F197" s="52"/>
      <c r="G197" s="52"/>
      <c r="H197" s="52"/>
      <c r="I197" s="52"/>
      <c r="J197" s="52"/>
      <c r="K197" s="54">
        <v>7</v>
      </c>
      <c r="L197" s="55">
        <f>ROUND((M194+M195+M196)*(1+M2/100),2)</f>
        <v>47.15</v>
      </c>
      <c r="M197" s="55">
        <f>ROUND(K197*L197,2)</f>
        <v>330.05</v>
      </c>
    </row>
    <row r="198" spans="1:13">
      <c r="A198" s="56" t="s">
        <v>637</v>
      </c>
      <c r="B198" s="57" t="s">
        <v>431</v>
      </c>
      <c r="C198" s="57" t="s">
        <v>3</v>
      </c>
      <c r="D198" s="58" t="s">
        <v>638</v>
      </c>
      <c r="E198" s="58"/>
      <c r="F198" s="58"/>
      <c r="G198" s="58"/>
      <c r="H198" s="58"/>
      <c r="I198" s="58"/>
      <c r="J198" s="58"/>
      <c r="K198" s="59">
        <f>ROUND(1,2)</f>
        <v>1</v>
      </c>
      <c r="L198" s="60">
        <f>ROUND(241*(1+M2/100),2)</f>
        <v>248.23</v>
      </c>
      <c r="M198" s="60">
        <f>ROUND(K198*L198,2)</f>
        <v>248.23</v>
      </c>
    </row>
    <row r="199" spans="1:13">
      <c r="A199" s="39"/>
      <c r="B199" s="39"/>
      <c r="C199" s="39"/>
      <c r="D199" s="36" t="s">
        <v>639</v>
      </c>
      <c r="E199" s="36"/>
      <c r="F199" s="36"/>
      <c r="G199" s="36"/>
      <c r="H199" s="36"/>
      <c r="I199" s="36"/>
      <c r="J199" s="36"/>
      <c r="K199" s="36"/>
      <c r="L199" s="36"/>
      <c r="M199" s="36"/>
    </row>
    <row r="200" spans="1:13">
      <c r="A200" s="34" t="s">
        <v>595</v>
      </c>
      <c r="B200" s="35" t="s">
        <v>431</v>
      </c>
      <c r="C200" s="35" t="s">
        <v>534</v>
      </c>
      <c r="D200" s="36" t="s">
        <v>535</v>
      </c>
      <c r="E200" s="36"/>
      <c r="F200" s="36"/>
      <c r="G200" s="36"/>
      <c r="H200" s="36"/>
      <c r="I200" s="36"/>
      <c r="J200" s="36"/>
      <c r="K200" s="37">
        <f>SUM(K203:K203)</f>
        <v>160</v>
      </c>
      <c r="L200" s="38">
        <f>L211</f>
        <v>6.65</v>
      </c>
      <c r="M200" s="38">
        <f>ROUND(K200*L200,2)</f>
        <v>1064</v>
      </c>
    </row>
    <row r="201" spans="1:13" ht="112.5">
      <c r="A201" s="39"/>
      <c r="B201" s="39"/>
      <c r="C201" s="39"/>
      <c r="D201" s="36" t="s">
        <v>536</v>
      </c>
      <c r="E201" s="36"/>
      <c r="F201" s="36"/>
      <c r="G201" s="36"/>
      <c r="H201" s="36"/>
      <c r="I201" s="36"/>
      <c r="J201" s="36"/>
      <c r="K201" s="36"/>
      <c r="L201" s="36"/>
      <c r="M201" s="36"/>
    </row>
    <row r="202" spans="1:13">
      <c r="A202" s="39"/>
      <c r="B202" s="39"/>
      <c r="C202" s="39"/>
      <c r="D202" s="39"/>
      <c r="E202" s="40"/>
      <c r="F202" s="41" t="s">
        <v>434</v>
      </c>
      <c r="G202" s="41" t="s">
        <v>435</v>
      </c>
      <c r="H202" s="41" t="s">
        <v>436</v>
      </c>
      <c r="I202" s="41" t="s">
        <v>437</v>
      </c>
      <c r="J202" s="41" t="s">
        <v>438</v>
      </c>
      <c r="K202" s="41" t="s">
        <v>439</v>
      </c>
      <c r="L202" s="39"/>
      <c r="M202" s="39"/>
    </row>
    <row r="203" spans="1:13">
      <c r="A203" s="39"/>
      <c r="B203" s="39"/>
      <c r="C203" s="39"/>
      <c r="D203" s="42"/>
      <c r="E203" s="43"/>
      <c r="F203" s="44">
        <v>160</v>
      </c>
      <c r="G203" s="45"/>
      <c r="H203" s="45"/>
      <c r="I203" s="45"/>
      <c r="J203" s="46">
        <f>ROUND(F203,3)</f>
        <v>160</v>
      </c>
      <c r="K203" s="47">
        <f>SUM(J203:J203)</f>
        <v>160</v>
      </c>
      <c r="L203" s="39"/>
      <c r="M203" s="39"/>
    </row>
    <row r="204" spans="1:13">
      <c r="A204" s="35" t="s">
        <v>537</v>
      </c>
      <c r="B204" s="35" t="s">
        <v>451</v>
      </c>
      <c r="C204" s="35" t="s">
        <v>538</v>
      </c>
      <c r="D204" s="36" t="s">
        <v>539</v>
      </c>
      <c r="E204" s="36"/>
      <c r="F204" s="36"/>
      <c r="G204" s="36"/>
      <c r="H204" s="36"/>
      <c r="I204" s="36"/>
      <c r="J204" s="36"/>
      <c r="K204" s="37">
        <v>1.4999999999999999E-2</v>
      </c>
      <c r="L204" s="37">
        <f>ROUND(78.89,3)</f>
        <v>78.89</v>
      </c>
      <c r="M204" s="38">
        <f t="shared" ref="M204:M209" si="7">ROUND(K204*L204,2)</f>
        <v>1.18</v>
      </c>
    </row>
    <row r="205" spans="1:13">
      <c r="A205" s="35" t="s">
        <v>540</v>
      </c>
      <c r="B205" s="35" t="s">
        <v>451</v>
      </c>
      <c r="C205" s="35" t="s">
        <v>538</v>
      </c>
      <c r="D205" s="36" t="s">
        <v>541</v>
      </c>
      <c r="E205" s="36"/>
      <c r="F205" s="36"/>
      <c r="G205" s="36"/>
      <c r="H205" s="36"/>
      <c r="I205" s="36"/>
      <c r="J205" s="36"/>
      <c r="K205" s="37">
        <v>6.0000000000000001E-3</v>
      </c>
      <c r="L205" s="37">
        <f>ROUND(1.5,3)</f>
        <v>1.5</v>
      </c>
      <c r="M205" s="38">
        <f t="shared" si="7"/>
        <v>0.01</v>
      </c>
    </row>
    <row r="206" spans="1:13" ht="22.5">
      <c r="A206" s="35" t="s">
        <v>542</v>
      </c>
      <c r="B206" s="35" t="s">
        <v>451</v>
      </c>
      <c r="C206" s="35" t="s">
        <v>543</v>
      </c>
      <c r="D206" s="36" t="s">
        <v>544</v>
      </c>
      <c r="E206" s="36"/>
      <c r="F206" s="36"/>
      <c r="G206" s="36"/>
      <c r="H206" s="36"/>
      <c r="I206" s="36"/>
      <c r="J206" s="36"/>
      <c r="K206" s="37">
        <v>1.9E-2</v>
      </c>
      <c r="L206" s="37">
        <f>ROUND(36.25,3)</f>
        <v>36.25</v>
      </c>
      <c r="M206" s="38">
        <f t="shared" si="7"/>
        <v>0.69</v>
      </c>
    </row>
    <row r="207" spans="1:13">
      <c r="A207" s="35" t="s">
        <v>545</v>
      </c>
      <c r="B207" s="35" t="s">
        <v>525</v>
      </c>
      <c r="C207" s="35" t="s">
        <v>456</v>
      </c>
      <c r="D207" s="36" t="s">
        <v>546</v>
      </c>
      <c r="E207" s="36"/>
      <c r="F207" s="36"/>
      <c r="G207" s="36"/>
      <c r="H207" s="36"/>
      <c r="I207" s="36"/>
      <c r="J207" s="36"/>
      <c r="K207" s="37">
        <v>5.0000000000000001E-3</v>
      </c>
      <c r="L207" s="37">
        <f>ROUND(25,3)</f>
        <v>25</v>
      </c>
      <c r="M207" s="38">
        <f t="shared" si="7"/>
        <v>0.13</v>
      </c>
    </row>
    <row r="208" spans="1:13">
      <c r="A208" s="35" t="s">
        <v>547</v>
      </c>
      <c r="B208" s="35" t="s">
        <v>455</v>
      </c>
      <c r="C208" s="35" t="s">
        <v>456</v>
      </c>
      <c r="D208" s="36" t="s">
        <v>548</v>
      </c>
      <c r="E208" s="36"/>
      <c r="F208" s="36"/>
      <c r="G208" s="36"/>
      <c r="H208" s="36"/>
      <c r="I208" s="36"/>
      <c r="J208" s="36"/>
      <c r="K208" s="37">
        <v>7.0000000000000007E-2</v>
      </c>
      <c r="L208" s="37">
        <f>ROUND(20.09,3)</f>
        <v>20.09</v>
      </c>
      <c r="M208" s="38">
        <f t="shared" si="7"/>
        <v>1.41</v>
      </c>
    </row>
    <row r="209" spans="1:13">
      <c r="A209" s="35" t="s">
        <v>549</v>
      </c>
      <c r="B209" s="35" t="s">
        <v>455</v>
      </c>
      <c r="C209" s="35" t="s">
        <v>456</v>
      </c>
      <c r="D209" s="36" t="s">
        <v>550</v>
      </c>
      <c r="E209" s="36"/>
      <c r="F209" s="36"/>
      <c r="G209" s="36"/>
      <c r="H209" s="36"/>
      <c r="I209" s="36"/>
      <c r="J209" s="36"/>
      <c r="K209" s="37">
        <v>0.17599999999999999</v>
      </c>
      <c r="L209" s="37">
        <f>ROUND(15.88,3)</f>
        <v>15.88</v>
      </c>
      <c r="M209" s="38">
        <f t="shared" si="7"/>
        <v>2.79</v>
      </c>
    </row>
    <row r="210" spans="1:13">
      <c r="A210" s="35" t="s">
        <v>460</v>
      </c>
      <c r="B210" s="35"/>
      <c r="C210" s="35" t="s">
        <v>460</v>
      </c>
      <c r="D210" s="36" t="s">
        <v>461</v>
      </c>
      <c r="E210" s="36"/>
      <c r="F210" s="36"/>
      <c r="G210" s="36"/>
      <c r="H210" s="36"/>
      <c r="I210" s="36"/>
      <c r="J210" s="36"/>
      <c r="K210" s="37">
        <v>4</v>
      </c>
      <c r="L210" s="37">
        <f>ROUND(6.21,3)</f>
        <v>6.21</v>
      </c>
      <c r="M210" s="38">
        <f>ROUND((K210*L210)/100,2)</f>
        <v>0.25</v>
      </c>
    </row>
    <row r="211" spans="1:13">
      <c r="A211" s="52"/>
      <c r="B211" s="52"/>
      <c r="C211" s="52"/>
      <c r="D211" s="53" t="s">
        <v>595</v>
      </c>
      <c r="E211" s="52"/>
      <c r="F211" s="52"/>
      <c r="G211" s="52"/>
      <c r="H211" s="52"/>
      <c r="I211" s="52"/>
      <c r="J211" s="52"/>
      <c r="K211" s="54">
        <v>160</v>
      </c>
      <c r="L211" s="55">
        <f>ROUND((M204+M205+M206+M207+M208+M209+M210)*(1+M2/100),2)</f>
        <v>6.65</v>
      </c>
      <c r="M211" s="55">
        <f>ROUND(K211*L211,2)</f>
        <v>1064</v>
      </c>
    </row>
    <row r="212" spans="1:13" ht="33.75">
      <c r="A212" s="56" t="s">
        <v>568</v>
      </c>
      <c r="B212" s="57" t="s">
        <v>431</v>
      </c>
      <c r="C212" s="57" t="s">
        <v>56</v>
      </c>
      <c r="D212" s="58" t="s">
        <v>569</v>
      </c>
      <c r="E212" s="58"/>
      <c r="F212" s="58"/>
      <c r="G212" s="58"/>
      <c r="H212" s="58"/>
      <c r="I212" s="58"/>
      <c r="J212" s="58"/>
      <c r="K212" s="59">
        <f>SUM(K215:K215)</f>
        <v>54.6</v>
      </c>
      <c r="L212" s="60">
        <f>L223</f>
        <v>31.85</v>
      </c>
      <c r="M212" s="60">
        <f>ROUND(K212*L212,2)</f>
        <v>1739.01</v>
      </c>
    </row>
    <row r="213" spans="1:13" ht="112.5">
      <c r="A213" s="39"/>
      <c r="B213" s="39"/>
      <c r="C213" s="39"/>
      <c r="D213" s="36" t="s">
        <v>570</v>
      </c>
      <c r="E213" s="36"/>
      <c r="F213" s="36"/>
      <c r="G213" s="36"/>
      <c r="H213" s="36"/>
      <c r="I213" s="36"/>
      <c r="J213" s="36"/>
      <c r="K213" s="36"/>
      <c r="L213" s="36"/>
      <c r="M213" s="36"/>
    </row>
    <row r="214" spans="1:13">
      <c r="A214" s="39"/>
      <c r="B214" s="39"/>
      <c r="C214" s="39"/>
      <c r="D214" s="39"/>
      <c r="E214" s="40"/>
      <c r="F214" s="41" t="s">
        <v>434</v>
      </c>
      <c r="G214" s="41" t="s">
        <v>435</v>
      </c>
      <c r="H214" s="41" t="s">
        <v>436</v>
      </c>
      <c r="I214" s="41" t="s">
        <v>437</v>
      </c>
      <c r="J214" s="41" t="s">
        <v>438</v>
      </c>
      <c r="K214" s="41" t="s">
        <v>439</v>
      </c>
      <c r="L214" s="39"/>
      <c r="M214" s="39"/>
    </row>
    <row r="215" spans="1:13">
      <c r="A215" s="39"/>
      <c r="B215" s="39"/>
      <c r="C215" s="39"/>
      <c r="D215" s="42"/>
      <c r="E215" s="43"/>
      <c r="F215" s="44">
        <v>2</v>
      </c>
      <c r="G215" s="45">
        <v>26</v>
      </c>
      <c r="H215" s="45">
        <v>1.05</v>
      </c>
      <c r="I215" s="45"/>
      <c r="J215" s="46">
        <f>ROUND(F215*G215*H215,3)</f>
        <v>54.6</v>
      </c>
      <c r="K215" s="47">
        <f>SUM(J215:J215)</f>
        <v>54.6</v>
      </c>
      <c r="L215" s="39"/>
      <c r="M215" s="39"/>
    </row>
    <row r="216" spans="1:13" ht="22.5">
      <c r="A216" s="35" t="s">
        <v>572</v>
      </c>
      <c r="B216" s="35" t="s">
        <v>451</v>
      </c>
      <c r="C216" s="35" t="s">
        <v>422</v>
      </c>
      <c r="D216" s="36" t="s">
        <v>573</v>
      </c>
      <c r="E216" s="36"/>
      <c r="F216" s="36"/>
      <c r="G216" s="36"/>
      <c r="H216" s="36"/>
      <c r="I216" s="36"/>
      <c r="J216" s="36"/>
      <c r="K216" s="37">
        <v>1</v>
      </c>
      <c r="L216" s="37">
        <f>ROUND(0.48,3)</f>
        <v>0.48</v>
      </c>
      <c r="M216" s="38">
        <f t="shared" ref="M216:M221" si="8">ROUND(K216*L216,2)</f>
        <v>0.48</v>
      </c>
    </row>
    <row r="217" spans="1:13" ht="33.75">
      <c r="A217" s="35" t="s">
        <v>574</v>
      </c>
      <c r="B217" s="35" t="s">
        <v>451</v>
      </c>
      <c r="C217" s="35" t="s">
        <v>56</v>
      </c>
      <c r="D217" s="36" t="s">
        <v>575</v>
      </c>
      <c r="E217" s="36"/>
      <c r="F217" s="36"/>
      <c r="G217" s="36"/>
      <c r="H217" s="36"/>
      <c r="I217" s="36"/>
      <c r="J217" s="36"/>
      <c r="K217" s="37">
        <v>1</v>
      </c>
      <c r="L217" s="37">
        <f>ROUND(11.58,3)</f>
        <v>11.58</v>
      </c>
      <c r="M217" s="38">
        <f t="shared" si="8"/>
        <v>11.58</v>
      </c>
    </row>
    <row r="218" spans="1:13" ht="22.5">
      <c r="A218" s="35" t="s">
        <v>576</v>
      </c>
      <c r="B218" s="35" t="s">
        <v>451</v>
      </c>
      <c r="C218" s="35" t="s">
        <v>56</v>
      </c>
      <c r="D218" s="36" t="s">
        <v>577</v>
      </c>
      <c r="E218" s="36"/>
      <c r="F218" s="36"/>
      <c r="G218" s="36"/>
      <c r="H218" s="36"/>
      <c r="I218" s="36"/>
      <c r="J218" s="36"/>
      <c r="K218" s="37">
        <v>1</v>
      </c>
      <c r="L218" s="37">
        <f>ROUND(13.13,3)</f>
        <v>13.13</v>
      </c>
      <c r="M218" s="38">
        <f t="shared" si="8"/>
        <v>13.13</v>
      </c>
    </row>
    <row r="219" spans="1:13">
      <c r="A219" s="35" t="s">
        <v>515</v>
      </c>
      <c r="B219" s="35" t="s">
        <v>451</v>
      </c>
      <c r="C219" s="35" t="s">
        <v>516</v>
      </c>
      <c r="D219" s="36" t="s">
        <v>517</v>
      </c>
      <c r="E219" s="36"/>
      <c r="F219" s="36"/>
      <c r="G219" s="36"/>
      <c r="H219" s="36"/>
      <c r="I219" s="36"/>
      <c r="J219" s="36"/>
      <c r="K219" s="37">
        <v>6.7000000000000004E-2</v>
      </c>
      <c r="L219" s="37">
        <f>ROUND(9.601,3)</f>
        <v>9.6010000000000009</v>
      </c>
      <c r="M219" s="38">
        <f t="shared" si="8"/>
        <v>0.64</v>
      </c>
    </row>
    <row r="220" spans="1:13">
      <c r="A220" s="35" t="s">
        <v>454</v>
      </c>
      <c r="B220" s="35" t="s">
        <v>455</v>
      </c>
      <c r="C220" s="35" t="s">
        <v>456</v>
      </c>
      <c r="D220" s="36" t="s">
        <v>457</v>
      </c>
      <c r="E220" s="36"/>
      <c r="F220" s="36"/>
      <c r="G220" s="36"/>
      <c r="H220" s="36"/>
      <c r="I220" s="36"/>
      <c r="J220" s="36"/>
      <c r="K220" s="37">
        <v>0.13200000000000001</v>
      </c>
      <c r="L220" s="37">
        <f>ROUND(17.82,3)</f>
        <v>17.82</v>
      </c>
      <c r="M220" s="38">
        <f t="shared" si="8"/>
        <v>2.35</v>
      </c>
    </row>
    <row r="221" spans="1:13">
      <c r="A221" s="35" t="s">
        <v>458</v>
      </c>
      <c r="B221" s="35" t="s">
        <v>455</v>
      </c>
      <c r="C221" s="35" t="s">
        <v>456</v>
      </c>
      <c r="D221" s="36" t="s">
        <v>459</v>
      </c>
      <c r="E221" s="36"/>
      <c r="F221" s="36"/>
      <c r="G221" s="36"/>
      <c r="H221" s="36"/>
      <c r="I221" s="36"/>
      <c r="J221" s="36"/>
      <c r="K221" s="37">
        <v>0.13200000000000001</v>
      </c>
      <c r="L221" s="37">
        <f>ROUND(16.1,3)</f>
        <v>16.100000000000001</v>
      </c>
      <c r="M221" s="38">
        <f t="shared" si="8"/>
        <v>2.13</v>
      </c>
    </row>
    <row r="222" spans="1:13">
      <c r="A222" s="35" t="s">
        <v>460</v>
      </c>
      <c r="B222" s="35"/>
      <c r="C222" s="35" t="s">
        <v>460</v>
      </c>
      <c r="D222" s="36" t="s">
        <v>461</v>
      </c>
      <c r="E222" s="36"/>
      <c r="F222" s="36"/>
      <c r="G222" s="36"/>
      <c r="H222" s="36"/>
      <c r="I222" s="36"/>
      <c r="J222" s="36"/>
      <c r="K222" s="37">
        <v>2</v>
      </c>
      <c r="L222" s="37">
        <f>ROUND(30.31,3)</f>
        <v>30.31</v>
      </c>
      <c r="M222" s="38">
        <f>ROUND((K222*L222)/100,2)</f>
        <v>0.61</v>
      </c>
    </row>
    <row r="223" spans="1:13">
      <c r="A223" s="52"/>
      <c r="B223" s="52"/>
      <c r="C223" s="52"/>
      <c r="D223" s="53" t="s">
        <v>568</v>
      </c>
      <c r="E223" s="52"/>
      <c r="F223" s="52"/>
      <c r="G223" s="52"/>
      <c r="H223" s="52"/>
      <c r="I223" s="52"/>
      <c r="J223" s="52"/>
      <c r="K223" s="54">
        <v>54.6</v>
      </c>
      <c r="L223" s="55">
        <f>ROUND((M216+M217+M218+M219+M220+M221+M222)*(1+M2/100),2)</f>
        <v>31.85</v>
      </c>
      <c r="M223" s="55">
        <f>ROUND(K223*L223,2)</f>
        <v>1739.01</v>
      </c>
    </row>
    <row r="224" spans="1:13">
      <c r="A224" s="56" t="s">
        <v>1035</v>
      </c>
      <c r="B224" s="57" t="s">
        <v>431</v>
      </c>
      <c r="C224" s="57" t="s">
        <v>422</v>
      </c>
      <c r="D224" s="58" t="s">
        <v>579</v>
      </c>
      <c r="E224" s="58"/>
      <c r="F224" s="58"/>
      <c r="G224" s="58"/>
      <c r="H224" s="58"/>
      <c r="I224" s="58"/>
      <c r="J224" s="58"/>
      <c r="K224" s="59">
        <f>SUM(K227:K227)</f>
        <v>8</v>
      </c>
      <c r="L224" s="60">
        <f>L233</f>
        <v>26.8</v>
      </c>
      <c r="M224" s="60">
        <f>ROUND(K224*L224,2)</f>
        <v>214.4</v>
      </c>
    </row>
    <row r="225" spans="1:13" ht="56.25">
      <c r="A225" s="39"/>
      <c r="B225" s="39"/>
      <c r="C225" s="39"/>
      <c r="D225" s="36" t="s">
        <v>580</v>
      </c>
      <c r="E225" s="36"/>
      <c r="F225" s="36"/>
      <c r="G225" s="36"/>
      <c r="H225" s="36"/>
      <c r="I225" s="36"/>
      <c r="J225" s="36"/>
      <c r="K225" s="36"/>
      <c r="L225" s="36"/>
      <c r="M225" s="36"/>
    </row>
    <row r="226" spans="1:13">
      <c r="A226" s="39"/>
      <c r="B226" s="39"/>
      <c r="C226" s="39"/>
      <c r="D226" s="39"/>
      <c r="E226" s="40"/>
      <c r="F226" s="41" t="s">
        <v>434</v>
      </c>
      <c r="G226" s="41" t="s">
        <v>435</v>
      </c>
      <c r="H226" s="41" t="s">
        <v>436</v>
      </c>
      <c r="I226" s="41" t="s">
        <v>437</v>
      </c>
      <c r="J226" s="41" t="s">
        <v>438</v>
      </c>
      <c r="K226" s="41" t="s">
        <v>439</v>
      </c>
      <c r="L226" s="39"/>
      <c r="M226" s="39"/>
    </row>
    <row r="227" spans="1:13">
      <c r="A227" s="39"/>
      <c r="B227" s="39"/>
      <c r="C227" s="39"/>
      <c r="D227" s="42"/>
      <c r="E227" s="43" t="s">
        <v>1033</v>
      </c>
      <c r="F227" s="44">
        <v>4</v>
      </c>
      <c r="G227" s="45">
        <v>2</v>
      </c>
      <c r="H227" s="45"/>
      <c r="I227" s="45"/>
      <c r="J227" s="46">
        <f>ROUND(F227*G227,3)</f>
        <v>8</v>
      </c>
      <c r="K227" s="47">
        <f>SUM(J227:J227)</f>
        <v>8</v>
      </c>
      <c r="L227" s="39"/>
      <c r="M227" s="39"/>
    </row>
    <row r="228" spans="1:13">
      <c r="A228" s="35" t="s">
        <v>583</v>
      </c>
      <c r="B228" s="35" t="s">
        <v>451</v>
      </c>
      <c r="C228" s="35" t="s">
        <v>422</v>
      </c>
      <c r="D228" s="36" t="s">
        <v>579</v>
      </c>
      <c r="E228" s="36"/>
      <c r="F228" s="36"/>
      <c r="G228" s="36"/>
      <c r="H228" s="36"/>
      <c r="I228" s="36"/>
      <c r="J228" s="36"/>
      <c r="K228" s="37">
        <v>1</v>
      </c>
      <c r="L228" s="37">
        <f>ROUND(21.57,3)</f>
        <v>21.57</v>
      </c>
      <c r="M228" s="38">
        <f>ROUND(K228*L228,2)</f>
        <v>21.57</v>
      </c>
    </row>
    <row r="229" spans="1:13" ht="22.5">
      <c r="A229" s="35" t="s">
        <v>452</v>
      </c>
      <c r="B229" s="35" t="s">
        <v>451</v>
      </c>
      <c r="C229" s="35" t="s">
        <v>422</v>
      </c>
      <c r="D229" s="36" t="s">
        <v>453</v>
      </c>
      <c r="E229" s="36"/>
      <c r="F229" s="36"/>
      <c r="G229" s="36"/>
      <c r="H229" s="36"/>
      <c r="I229" s="36"/>
      <c r="J229" s="36"/>
      <c r="K229" s="37">
        <v>0.1</v>
      </c>
      <c r="L229" s="37">
        <f>ROUND(2.1,3)</f>
        <v>2.1</v>
      </c>
      <c r="M229" s="38">
        <f>ROUND(K229*L229,2)</f>
        <v>0.21</v>
      </c>
    </row>
    <row r="230" spans="1:13">
      <c r="A230" s="35" t="s">
        <v>454</v>
      </c>
      <c r="B230" s="35" t="s">
        <v>455</v>
      </c>
      <c r="C230" s="35" t="s">
        <v>456</v>
      </c>
      <c r="D230" s="36" t="s">
        <v>457</v>
      </c>
      <c r="E230" s="36"/>
      <c r="F230" s="36"/>
      <c r="G230" s="36"/>
      <c r="H230" s="36"/>
      <c r="I230" s="36"/>
      <c r="J230" s="36"/>
      <c r="K230" s="37">
        <v>0.11</v>
      </c>
      <c r="L230" s="37">
        <f>ROUND(17.82,3)</f>
        <v>17.82</v>
      </c>
      <c r="M230" s="38">
        <f>ROUND(K230*L230,2)</f>
        <v>1.96</v>
      </c>
    </row>
    <row r="231" spans="1:13">
      <c r="A231" s="35" t="s">
        <v>458</v>
      </c>
      <c r="B231" s="35" t="s">
        <v>455</v>
      </c>
      <c r="C231" s="35" t="s">
        <v>456</v>
      </c>
      <c r="D231" s="36" t="s">
        <v>459</v>
      </c>
      <c r="E231" s="36"/>
      <c r="F231" s="36"/>
      <c r="G231" s="36"/>
      <c r="H231" s="36"/>
      <c r="I231" s="36"/>
      <c r="J231" s="36"/>
      <c r="K231" s="37">
        <v>0.11</v>
      </c>
      <c r="L231" s="37">
        <f>ROUND(16.1,3)</f>
        <v>16.100000000000001</v>
      </c>
      <c r="M231" s="38">
        <f>ROUND(K231*L231,2)</f>
        <v>1.77</v>
      </c>
    </row>
    <row r="232" spans="1:13">
      <c r="A232" s="35" t="s">
        <v>460</v>
      </c>
      <c r="B232" s="35"/>
      <c r="C232" s="35" t="s">
        <v>460</v>
      </c>
      <c r="D232" s="36" t="s">
        <v>461</v>
      </c>
      <c r="E232" s="36"/>
      <c r="F232" s="36"/>
      <c r="G232" s="36"/>
      <c r="H232" s="36"/>
      <c r="I232" s="36"/>
      <c r="J232" s="36"/>
      <c r="K232" s="37">
        <v>2</v>
      </c>
      <c r="L232" s="37">
        <f>ROUND(25.51,3)</f>
        <v>25.51</v>
      </c>
      <c r="M232" s="38">
        <f>ROUND((K232*L232)/100,2)</f>
        <v>0.51</v>
      </c>
    </row>
    <row r="233" spans="1:13">
      <c r="A233" s="52"/>
      <c r="B233" s="52"/>
      <c r="C233" s="52"/>
      <c r="D233" s="53" t="s">
        <v>1035</v>
      </c>
      <c r="E233" s="52"/>
      <c r="F233" s="52"/>
      <c r="G233" s="52"/>
      <c r="H233" s="52"/>
      <c r="I233" s="52"/>
      <c r="J233" s="52"/>
      <c r="K233" s="54">
        <v>8</v>
      </c>
      <c r="L233" s="55">
        <f>ROUND((M228+M229+M230+M231+M232)*(1+M2/100),2)</f>
        <v>26.8</v>
      </c>
      <c r="M233" s="55">
        <f>ROUND(K233*L233,2)</f>
        <v>214.4</v>
      </c>
    </row>
    <row r="234" spans="1:13" ht="33.75">
      <c r="A234" s="56" t="s">
        <v>598</v>
      </c>
      <c r="B234" s="57" t="s">
        <v>431</v>
      </c>
      <c r="C234" s="57" t="s">
        <v>56</v>
      </c>
      <c r="D234" s="58" t="s">
        <v>1036</v>
      </c>
      <c r="E234" s="58"/>
      <c r="F234" s="58"/>
      <c r="G234" s="58"/>
      <c r="H234" s="58"/>
      <c r="I234" s="58"/>
      <c r="J234" s="58"/>
      <c r="K234" s="59">
        <f>ROUND(48.3,2)</f>
        <v>48.3</v>
      </c>
      <c r="L234" s="60">
        <f>L241</f>
        <v>39.270000000000003</v>
      </c>
      <c r="M234" s="60">
        <f>ROUND(K234*L234,2)</f>
        <v>1896.74</v>
      </c>
    </row>
    <row r="235" spans="1:13" ht="67.5">
      <c r="A235" s="39"/>
      <c r="B235" s="39"/>
      <c r="C235" s="39"/>
      <c r="D235" s="36" t="s">
        <v>1037</v>
      </c>
      <c r="E235" s="36"/>
      <c r="F235" s="36"/>
      <c r="G235" s="36"/>
      <c r="H235" s="36"/>
      <c r="I235" s="36"/>
      <c r="J235" s="36"/>
      <c r="K235" s="36"/>
      <c r="L235" s="36"/>
      <c r="M235" s="36"/>
    </row>
    <row r="236" spans="1:13" ht="22.5">
      <c r="A236" s="35" t="s">
        <v>1038</v>
      </c>
      <c r="B236" s="35" t="s">
        <v>451</v>
      </c>
      <c r="C236" s="35" t="s">
        <v>56</v>
      </c>
      <c r="D236" s="36" t="s">
        <v>1039</v>
      </c>
      <c r="E236" s="36"/>
      <c r="F236" s="36"/>
      <c r="G236" s="36"/>
      <c r="H236" s="36"/>
      <c r="I236" s="36"/>
      <c r="J236" s="36"/>
      <c r="K236" s="37">
        <v>1.05</v>
      </c>
      <c r="L236" s="37">
        <f>ROUND(30.88,3)</f>
        <v>30.88</v>
      </c>
      <c r="M236" s="38">
        <f>ROUND(K236*L236,2)</f>
        <v>32.42</v>
      </c>
    </row>
    <row r="237" spans="1:13">
      <c r="A237" s="35" t="s">
        <v>515</v>
      </c>
      <c r="B237" s="35" t="s">
        <v>451</v>
      </c>
      <c r="C237" s="35" t="s">
        <v>516</v>
      </c>
      <c r="D237" s="36" t="s">
        <v>517</v>
      </c>
      <c r="E237" s="36"/>
      <c r="F237" s="36"/>
      <c r="G237" s="36"/>
      <c r="H237" s="36"/>
      <c r="I237" s="36"/>
      <c r="J237" s="36"/>
      <c r="K237" s="37">
        <v>4.2000000000000003E-2</v>
      </c>
      <c r="L237" s="37">
        <f>ROUND(9.601,3)</f>
        <v>9.6010000000000009</v>
      </c>
      <c r="M237" s="38">
        <f>ROUND(K237*L237,2)</f>
        <v>0.4</v>
      </c>
    </row>
    <row r="238" spans="1:13">
      <c r="A238" s="35" t="s">
        <v>603</v>
      </c>
      <c r="B238" s="35" t="s">
        <v>455</v>
      </c>
      <c r="C238" s="35" t="s">
        <v>456</v>
      </c>
      <c r="D238" s="36" t="s">
        <v>604</v>
      </c>
      <c r="E238" s="36"/>
      <c r="F238" s="36"/>
      <c r="G238" s="36"/>
      <c r="H238" s="36"/>
      <c r="I238" s="36"/>
      <c r="J238" s="36"/>
      <c r="K238" s="37">
        <v>0.121</v>
      </c>
      <c r="L238" s="37">
        <f>ROUND(20.33,3)</f>
        <v>20.329999999999998</v>
      </c>
      <c r="M238" s="38">
        <f>ROUND(K238*L238,2)</f>
        <v>2.46</v>
      </c>
    </row>
    <row r="239" spans="1:13">
      <c r="A239" s="35" t="s">
        <v>605</v>
      </c>
      <c r="B239" s="35" t="s">
        <v>455</v>
      </c>
      <c r="C239" s="35" t="s">
        <v>456</v>
      </c>
      <c r="D239" s="36" t="s">
        <v>606</v>
      </c>
      <c r="E239" s="36"/>
      <c r="F239" s="36"/>
      <c r="G239" s="36"/>
      <c r="H239" s="36"/>
      <c r="I239" s="36"/>
      <c r="J239" s="36"/>
      <c r="K239" s="37">
        <v>0.121</v>
      </c>
      <c r="L239" s="37">
        <f>ROUND(17.34,3)</f>
        <v>17.34</v>
      </c>
      <c r="M239" s="38">
        <f>ROUND(K239*L239,2)</f>
        <v>2.1</v>
      </c>
    </row>
    <row r="240" spans="1:13">
      <c r="A240" s="35" t="s">
        <v>460</v>
      </c>
      <c r="B240" s="35"/>
      <c r="C240" s="35" t="s">
        <v>460</v>
      </c>
      <c r="D240" s="36" t="s">
        <v>461</v>
      </c>
      <c r="E240" s="36"/>
      <c r="F240" s="36"/>
      <c r="G240" s="36"/>
      <c r="H240" s="36"/>
      <c r="I240" s="36"/>
      <c r="J240" s="36"/>
      <c r="K240" s="37">
        <v>2</v>
      </c>
      <c r="L240" s="37">
        <f>ROUND(37.38,3)</f>
        <v>37.380000000000003</v>
      </c>
      <c r="M240" s="38">
        <f>ROUND((K240*L240)/100,2)</f>
        <v>0.75</v>
      </c>
    </row>
    <row r="241" spans="1:13">
      <c r="A241" s="52"/>
      <c r="B241" s="52"/>
      <c r="C241" s="52"/>
      <c r="D241" s="53" t="s">
        <v>598</v>
      </c>
      <c r="E241" s="52"/>
      <c r="F241" s="52"/>
      <c r="G241" s="52"/>
      <c r="H241" s="52"/>
      <c r="I241" s="52"/>
      <c r="J241" s="52"/>
      <c r="K241" s="54">
        <v>48.3</v>
      </c>
      <c r="L241" s="55">
        <f>ROUND((M236+M237+M238+M239+M240)*(1+M2/100),2)</f>
        <v>39.270000000000003</v>
      </c>
      <c r="M241" s="55">
        <f>ROUND(K241*L241,2)</f>
        <v>1896.74</v>
      </c>
    </row>
    <row r="242" spans="1:13" ht="33.75">
      <c r="A242" s="56" t="s">
        <v>1040</v>
      </c>
      <c r="B242" s="57" t="s">
        <v>431</v>
      </c>
      <c r="C242" s="57" t="s">
        <v>56</v>
      </c>
      <c r="D242" s="58" t="s">
        <v>1041</v>
      </c>
      <c r="E242" s="58"/>
      <c r="F242" s="58"/>
      <c r="G242" s="58"/>
      <c r="H242" s="58"/>
      <c r="I242" s="58"/>
      <c r="J242" s="58"/>
      <c r="K242" s="59">
        <f>ROUND(54.6,2)</f>
        <v>54.6</v>
      </c>
      <c r="L242" s="60">
        <f>L249</f>
        <v>41.97</v>
      </c>
      <c r="M242" s="60">
        <f>ROUND(K242*L242,2)</f>
        <v>2291.56</v>
      </c>
    </row>
    <row r="243" spans="1:13" ht="67.5">
      <c r="A243" s="39"/>
      <c r="B243" s="39"/>
      <c r="C243" s="39"/>
      <c r="D243" s="36" t="s">
        <v>1042</v>
      </c>
      <c r="E243" s="36"/>
      <c r="F243" s="36"/>
      <c r="G243" s="36"/>
      <c r="H243" s="36"/>
      <c r="I243" s="36"/>
      <c r="J243" s="36"/>
      <c r="K243" s="36"/>
      <c r="L243" s="36"/>
      <c r="M243" s="36"/>
    </row>
    <row r="244" spans="1:13" ht="22.5">
      <c r="A244" s="35" t="s">
        <v>601</v>
      </c>
      <c r="B244" s="35" t="s">
        <v>451</v>
      </c>
      <c r="C244" s="35" t="s">
        <v>56</v>
      </c>
      <c r="D244" s="36" t="s">
        <v>602</v>
      </c>
      <c r="E244" s="36"/>
      <c r="F244" s="36"/>
      <c r="G244" s="36"/>
      <c r="H244" s="36"/>
      <c r="I244" s="36"/>
      <c r="J244" s="36"/>
      <c r="K244" s="37">
        <v>1.05</v>
      </c>
      <c r="L244" s="37">
        <f>ROUND(33.08,3)</f>
        <v>33.08</v>
      </c>
      <c r="M244" s="38">
        <f>ROUND(K244*L244,2)</f>
        <v>34.729999999999997</v>
      </c>
    </row>
    <row r="245" spans="1:13">
      <c r="A245" s="35" t="s">
        <v>515</v>
      </c>
      <c r="B245" s="35" t="s">
        <v>451</v>
      </c>
      <c r="C245" s="35" t="s">
        <v>516</v>
      </c>
      <c r="D245" s="36" t="s">
        <v>517</v>
      </c>
      <c r="E245" s="36"/>
      <c r="F245" s="36"/>
      <c r="G245" s="36"/>
      <c r="H245" s="36"/>
      <c r="I245" s="36"/>
      <c r="J245" s="36"/>
      <c r="K245" s="37">
        <v>0.05</v>
      </c>
      <c r="L245" s="37">
        <f>ROUND(9.601,3)</f>
        <v>9.6010000000000009</v>
      </c>
      <c r="M245" s="38">
        <f>ROUND(K245*L245,2)</f>
        <v>0.48</v>
      </c>
    </row>
    <row r="246" spans="1:13">
      <c r="A246" s="35" t="s">
        <v>603</v>
      </c>
      <c r="B246" s="35" t="s">
        <v>455</v>
      </c>
      <c r="C246" s="35" t="s">
        <v>456</v>
      </c>
      <c r="D246" s="36" t="s">
        <v>604</v>
      </c>
      <c r="E246" s="36"/>
      <c r="F246" s="36"/>
      <c r="G246" s="36"/>
      <c r="H246" s="36"/>
      <c r="I246" s="36"/>
      <c r="J246" s="36"/>
      <c r="K246" s="37">
        <v>0.126</v>
      </c>
      <c r="L246" s="37">
        <f>ROUND(20.33,3)</f>
        <v>20.329999999999998</v>
      </c>
      <c r="M246" s="38">
        <f>ROUND(K246*L246,2)</f>
        <v>2.56</v>
      </c>
    </row>
    <row r="247" spans="1:13">
      <c r="A247" s="35" t="s">
        <v>605</v>
      </c>
      <c r="B247" s="35" t="s">
        <v>455</v>
      </c>
      <c r="C247" s="35" t="s">
        <v>456</v>
      </c>
      <c r="D247" s="36" t="s">
        <v>606</v>
      </c>
      <c r="E247" s="36"/>
      <c r="F247" s="36"/>
      <c r="G247" s="36"/>
      <c r="H247" s="36"/>
      <c r="I247" s="36"/>
      <c r="J247" s="36"/>
      <c r="K247" s="37">
        <v>0.126</v>
      </c>
      <c r="L247" s="37">
        <f>ROUND(17.34,3)</f>
        <v>17.34</v>
      </c>
      <c r="M247" s="38">
        <f>ROUND(K247*L247,2)</f>
        <v>2.1800000000000002</v>
      </c>
    </row>
    <row r="248" spans="1:13">
      <c r="A248" s="35" t="s">
        <v>460</v>
      </c>
      <c r="B248" s="35"/>
      <c r="C248" s="35" t="s">
        <v>460</v>
      </c>
      <c r="D248" s="36" t="s">
        <v>461</v>
      </c>
      <c r="E248" s="36"/>
      <c r="F248" s="36"/>
      <c r="G248" s="36"/>
      <c r="H248" s="36"/>
      <c r="I248" s="36"/>
      <c r="J248" s="36"/>
      <c r="K248" s="37">
        <v>2</v>
      </c>
      <c r="L248" s="37">
        <f>ROUND(39.95,3)</f>
        <v>39.950000000000003</v>
      </c>
      <c r="M248" s="38">
        <f>ROUND((K248*L248)/100,2)</f>
        <v>0.8</v>
      </c>
    </row>
    <row r="249" spans="1:13">
      <c r="A249" s="52"/>
      <c r="B249" s="52"/>
      <c r="C249" s="52"/>
      <c r="D249" s="53" t="s">
        <v>1040</v>
      </c>
      <c r="E249" s="52"/>
      <c r="F249" s="52"/>
      <c r="G249" s="52"/>
      <c r="H249" s="52"/>
      <c r="I249" s="52"/>
      <c r="J249" s="52"/>
      <c r="K249" s="54">
        <v>54.6</v>
      </c>
      <c r="L249" s="55">
        <f>ROUND((M244+M245+M246+M247+M248)*(1+M2/100),2)</f>
        <v>41.97</v>
      </c>
      <c r="M249" s="55">
        <f>ROUND(K249*L249,2)</f>
        <v>2291.56</v>
      </c>
    </row>
    <row r="250" spans="1:13" ht="33.75">
      <c r="A250" s="56" t="s">
        <v>558</v>
      </c>
      <c r="B250" s="57" t="s">
        <v>431</v>
      </c>
      <c r="C250" s="57" t="s">
        <v>56</v>
      </c>
      <c r="D250" s="58" t="s">
        <v>559</v>
      </c>
      <c r="E250" s="58"/>
      <c r="F250" s="58"/>
      <c r="G250" s="58"/>
      <c r="H250" s="58"/>
      <c r="I250" s="58"/>
      <c r="J250" s="58"/>
      <c r="K250" s="59">
        <f>SUM(K253:K253)</f>
        <v>48.3</v>
      </c>
      <c r="L250" s="60">
        <f>L261</f>
        <v>20.71</v>
      </c>
      <c r="M250" s="60">
        <f>ROUND(K250*L250,2)</f>
        <v>1000.29</v>
      </c>
    </row>
    <row r="251" spans="1:13" ht="112.5">
      <c r="A251" s="39"/>
      <c r="B251" s="39"/>
      <c r="C251" s="39"/>
      <c r="D251" s="36" t="s">
        <v>560</v>
      </c>
      <c r="E251" s="36"/>
      <c r="F251" s="36"/>
      <c r="G251" s="36"/>
      <c r="H251" s="36"/>
      <c r="I251" s="36"/>
      <c r="J251" s="36"/>
      <c r="K251" s="36"/>
      <c r="L251" s="36"/>
      <c r="M251" s="36"/>
    </row>
    <row r="252" spans="1:13">
      <c r="A252" s="39"/>
      <c r="B252" s="39"/>
      <c r="C252" s="39"/>
      <c r="D252" s="39"/>
      <c r="E252" s="40"/>
      <c r="F252" s="41" t="s">
        <v>434</v>
      </c>
      <c r="G252" s="41" t="s">
        <v>435</v>
      </c>
      <c r="H252" s="41" t="s">
        <v>436</v>
      </c>
      <c r="I252" s="41" t="s">
        <v>437</v>
      </c>
      <c r="J252" s="41" t="s">
        <v>438</v>
      </c>
      <c r="K252" s="41" t="s">
        <v>439</v>
      </c>
      <c r="L252" s="39"/>
      <c r="M252" s="39"/>
    </row>
    <row r="253" spans="1:13">
      <c r="A253" s="39"/>
      <c r="B253" s="39"/>
      <c r="C253" s="39"/>
      <c r="D253" s="42"/>
      <c r="E253" s="43"/>
      <c r="F253" s="44">
        <v>2</v>
      </c>
      <c r="G253" s="45">
        <v>23</v>
      </c>
      <c r="H253" s="45">
        <v>1.05</v>
      </c>
      <c r="I253" s="45"/>
      <c r="J253" s="46">
        <f>ROUND(F253*G253*H253,3)</f>
        <v>48.3</v>
      </c>
      <c r="K253" s="47">
        <f>SUM(J253:J253)</f>
        <v>48.3</v>
      </c>
      <c r="L253" s="39"/>
      <c r="M253" s="39"/>
    </row>
    <row r="254" spans="1:13" ht="22.5">
      <c r="A254" s="35" t="s">
        <v>562</v>
      </c>
      <c r="B254" s="35" t="s">
        <v>451</v>
      </c>
      <c r="C254" s="35" t="s">
        <v>422</v>
      </c>
      <c r="D254" s="36" t="s">
        <v>563</v>
      </c>
      <c r="E254" s="36"/>
      <c r="F254" s="36"/>
      <c r="G254" s="36"/>
      <c r="H254" s="36"/>
      <c r="I254" s="36"/>
      <c r="J254" s="36"/>
      <c r="K254" s="37">
        <v>1</v>
      </c>
      <c r="L254" s="37">
        <f>ROUND(0.27,3)</f>
        <v>0.27</v>
      </c>
      <c r="M254" s="38">
        <f t="shared" ref="M254:M259" si="9">ROUND(K254*L254,2)</f>
        <v>0.27</v>
      </c>
    </row>
    <row r="255" spans="1:13" ht="33.75">
      <c r="A255" s="35" t="s">
        <v>564</v>
      </c>
      <c r="B255" s="35" t="s">
        <v>451</v>
      </c>
      <c r="C255" s="35" t="s">
        <v>56</v>
      </c>
      <c r="D255" s="36" t="s">
        <v>565</v>
      </c>
      <c r="E255" s="36"/>
      <c r="F255" s="36"/>
      <c r="G255" s="36"/>
      <c r="H255" s="36"/>
      <c r="I255" s="36"/>
      <c r="J255" s="36"/>
      <c r="K255" s="37">
        <v>1</v>
      </c>
      <c r="L255" s="37">
        <f>ROUND(6.6,3)</f>
        <v>6.6</v>
      </c>
      <c r="M255" s="38">
        <f t="shared" si="9"/>
        <v>6.6</v>
      </c>
    </row>
    <row r="256" spans="1:13" ht="22.5">
      <c r="A256" s="35" t="s">
        <v>566</v>
      </c>
      <c r="B256" s="35" t="s">
        <v>451</v>
      </c>
      <c r="C256" s="35" t="s">
        <v>56</v>
      </c>
      <c r="D256" s="36" t="s">
        <v>567</v>
      </c>
      <c r="E256" s="36"/>
      <c r="F256" s="36"/>
      <c r="G256" s="36"/>
      <c r="H256" s="36"/>
      <c r="I256" s="36"/>
      <c r="J256" s="36"/>
      <c r="K256" s="37">
        <v>1</v>
      </c>
      <c r="L256" s="37">
        <f>ROUND(7.84,3)</f>
        <v>7.84</v>
      </c>
      <c r="M256" s="38">
        <f t="shared" si="9"/>
        <v>7.84</v>
      </c>
    </row>
    <row r="257" spans="1:13">
      <c r="A257" s="35" t="s">
        <v>515</v>
      </c>
      <c r="B257" s="35" t="s">
        <v>451</v>
      </c>
      <c r="C257" s="35" t="s">
        <v>516</v>
      </c>
      <c r="D257" s="36" t="s">
        <v>517</v>
      </c>
      <c r="E257" s="36"/>
      <c r="F257" s="36"/>
      <c r="G257" s="36"/>
      <c r="H257" s="36"/>
      <c r="I257" s="36"/>
      <c r="J257" s="36"/>
      <c r="K257" s="37">
        <v>5.5E-2</v>
      </c>
      <c r="L257" s="37">
        <f>ROUND(9.601,3)</f>
        <v>9.6010000000000009</v>
      </c>
      <c r="M257" s="38">
        <f t="shared" si="9"/>
        <v>0.53</v>
      </c>
    </row>
    <row r="258" spans="1:13">
      <c r="A258" s="35" t="s">
        <v>454</v>
      </c>
      <c r="B258" s="35" t="s">
        <v>455</v>
      </c>
      <c r="C258" s="35" t="s">
        <v>456</v>
      </c>
      <c r="D258" s="36" t="s">
        <v>457</v>
      </c>
      <c r="E258" s="36"/>
      <c r="F258" s="36"/>
      <c r="G258" s="36"/>
      <c r="H258" s="36"/>
      <c r="I258" s="36"/>
      <c r="J258" s="36"/>
      <c r="K258" s="37">
        <v>0.13200000000000001</v>
      </c>
      <c r="L258" s="37">
        <f>ROUND(17.82,3)</f>
        <v>17.82</v>
      </c>
      <c r="M258" s="38">
        <f t="shared" si="9"/>
        <v>2.35</v>
      </c>
    </row>
    <row r="259" spans="1:13">
      <c r="A259" s="35" t="s">
        <v>458</v>
      </c>
      <c r="B259" s="35" t="s">
        <v>455</v>
      </c>
      <c r="C259" s="35" t="s">
        <v>456</v>
      </c>
      <c r="D259" s="36" t="s">
        <v>459</v>
      </c>
      <c r="E259" s="36"/>
      <c r="F259" s="36"/>
      <c r="G259" s="36"/>
      <c r="H259" s="36"/>
      <c r="I259" s="36"/>
      <c r="J259" s="36"/>
      <c r="K259" s="37">
        <v>0.13200000000000001</v>
      </c>
      <c r="L259" s="37">
        <f>ROUND(16.1,3)</f>
        <v>16.100000000000001</v>
      </c>
      <c r="M259" s="38">
        <f t="shared" si="9"/>
        <v>2.13</v>
      </c>
    </row>
    <row r="260" spans="1:13">
      <c r="A260" s="35" t="s">
        <v>460</v>
      </c>
      <c r="B260" s="35"/>
      <c r="C260" s="35" t="s">
        <v>460</v>
      </c>
      <c r="D260" s="36" t="s">
        <v>461</v>
      </c>
      <c r="E260" s="36"/>
      <c r="F260" s="36"/>
      <c r="G260" s="36"/>
      <c r="H260" s="36"/>
      <c r="I260" s="36"/>
      <c r="J260" s="36"/>
      <c r="K260" s="37">
        <v>2</v>
      </c>
      <c r="L260" s="37">
        <f>ROUND(19.72,3)</f>
        <v>19.72</v>
      </c>
      <c r="M260" s="38">
        <f>ROUND((K260*L260)/100,2)</f>
        <v>0.39</v>
      </c>
    </row>
    <row r="261" spans="1:13">
      <c r="A261" s="52"/>
      <c r="B261" s="52"/>
      <c r="C261" s="52"/>
      <c r="D261" s="53" t="s">
        <v>558</v>
      </c>
      <c r="E261" s="52"/>
      <c r="F261" s="52"/>
      <c r="G261" s="52"/>
      <c r="H261" s="52"/>
      <c r="I261" s="52"/>
      <c r="J261" s="52"/>
      <c r="K261" s="54">
        <v>48.3</v>
      </c>
      <c r="L261" s="55">
        <f>ROUND((M254+M255+M256+M257+M258+M259+M260)*(1+M2/100),2)</f>
        <v>20.71</v>
      </c>
      <c r="M261" s="55">
        <f>ROUND(K261*L261,2)</f>
        <v>1000.29</v>
      </c>
    </row>
    <row r="262" spans="1:13">
      <c r="A262" s="79"/>
      <c r="B262" s="79"/>
      <c r="C262" s="79"/>
      <c r="D262" s="80" t="s">
        <v>556</v>
      </c>
      <c r="E262" s="81"/>
      <c r="F262" s="81"/>
      <c r="G262" s="81"/>
      <c r="H262" s="81"/>
      <c r="I262" s="81"/>
      <c r="J262" s="81"/>
      <c r="K262" s="81"/>
      <c r="L262" s="82">
        <f>M147+M157+M168+M173+M183+M192+M198+M200+M212+M224+M234+M242+M250</f>
        <v>22279.650000000005</v>
      </c>
      <c r="M262" s="82">
        <f>ROUND(L262,2)</f>
        <v>22279.65</v>
      </c>
    </row>
    <row r="263" spans="1:13">
      <c r="A263" s="75" t="s">
        <v>640</v>
      </c>
      <c r="B263" s="75" t="s">
        <v>428</v>
      </c>
      <c r="C263" s="76"/>
      <c r="D263" s="77" t="s">
        <v>1043</v>
      </c>
      <c r="E263" s="77"/>
      <c r="F263" s="77"/>
      <c r="G263" s="77"/>
      <c r="H263" s="77"/>
      <c r="I263" s="77"/>
      <c r="J263" s="77"/>
      <c r="K263" s="76"/>
      <c r="L263" s="78">
        <f>L379</f>
        <v>22279.650000000005</v>
      </c>
      <c r="M263" s="78">
        <f>ROUND(L263,2)</f>
        <v>22279.65</v>
      </c>
    </row>
    <row r="264" spans="1:13" ht="33.75">
      <c r="A264" s="34" t="s">
        <v>1044</v>
      </c>
      <c r="B264" s="35" t="s">
        <v>431</v>
      </c>
      <c r="C264" s="35" t="s">
        <v>56</v>
      </c>
      <c r="D264" s="36" t="s">
        <v>559</v>
      </c>
      <c r="E264" s="36"/>
      <c r="F264" s="36"/>
      <c r="G264" s="36"/>
      <c r="H264" s="36"/>
      <c r="I264" s="36"/>
      <c r="J264" s="36"/>
      <c r="K264" s="37">
        <f>SUM(K267:K267)</f>
        <v>48.3</v>
      </c>
      <c r="L264" s="38">
        <f>L275</f>
        <v>20.71</v>
      </c>
      <c r="M264" s="38">
        <f>ROUND(K264*L264,2)</f>
        <v>1000.29</v>
      </c>
    </row>
    <row r="265" spans="1:13" ht="112.5">
      <c r="A265" s="39"/>
      <c r="B265" s="39"/>
      <c r="C265" s="39"/>
      <c r="D265" s="36" t="s">
        <v>560</v>
      </c>
      <c r="E265" s="36"/>
      <c r="F265" s="36"/>
      <c r="G265" s="36"/>
      <c r="H265" s="36"/>
      <c r="I265" s="36"/>
      <c r="J265" s="36"/>
      <c r="K265" s="36"/>
      <c r="L265" s="36"/>
      <c r="M265" s="36"/>
    </row>
    <row r="266" spans="1:13">
      <c r="A266" s="39"/>
      <c r="B266" s="39"/>
      <c r="C266" s="39"/>
      <c r="D266" s="39"/>
      <c r="E266" s="40"/>
      <c r="F266" s="41" t="s">
        <v>434</v>
      </c>
      <c r="G266" s="41" t="s">
        <v>435</v>
      </c>
      <c r="H266" s="41" t="s">
        <v>436</v>
      </c>
      <c r="I266" s="41" t="s">
        <v>437</v>
      </c>
      <c r="J266" s="41" t="s">
        <v>438</v>
      </c>
      <c r="K266" s="41" t="s">
        <v>439</v>
      </c>
      <c r="L266" s="39"/>
      <c r="M266" s="39"/>
    </row>
    <row r="267" spans="1:13">
      <c r="A267" s="39"/>
      <c r="B267" s="39"/>
      <c r="C267" s="39"/>
      <c r="D267" s="42"/>
      <c r="E267" s="43"/>
      <c r="F267" s="44">
        <v>2</v>
      </c>
      <c r="G267" s="45">
        <v>23</v>
      </c>
      <c r="H267" s="45">
        <v>1.05</v>
      </c>
      <c r="I267" s="45"/>
      <c r="J267" s="46">
        <f>ROUND(F267*G267*H267,3)</f>
        <v>48.3</v>
      </c>
      <c r="K267" s="47">
        <f>SUM(J267:J267)</f>
        <v>48.3</v>
      </c>
      <c r="L267" s="39"/>
      <c r="M267" s="39"/>
    </row>
    <row r="268" spans="1:13" ht="22.5">
      <c r="A268" s="35" t="s">
        <v>562</v>
      </c>
      <c r="B268" s="35" t="s">
        <v>451</v>
      </c>
      <c r="C268" s="35" t="s">
        <v>422</v>
      </c>
      <c r="D268" s="36" t="s">
        <v>563</v>
      </c>
      <c r="E268" s="36"/>
      <c r="F268" s="36"/>
      <c r="G268" s="36"/>
      <c r="H268" s="36"/>
      <c r="I268" s="36"/>
      <c r="J268" s="36"/>
      <c r="K268" s="37">
        <v>1</v>
      </c>
      <c r="L268" s="37">
        <f>ROUND(0.27,3)</f>
        <v>0.27</v>
      </c>
      <c r="M268" s="38">
        <f t="shared" ref="M268:M273" si="10">ROUND(K268*L268,2)</f>
        <v>0.27</v>
      </c>
    </row>
    <row r="269" spans="1:13" ht="33.75">
      <c r="A269" s="35" t="s">
        <v>564</v>
      </c>
      <c r="B269" s="35" t="s">
        <v>451</v>
      </c>
      <c r="C269" s="35" t="s">
        <v>56</v>
      </c>
      <c r="D269" s="36" t="s">
        <v>565</v>
      </c>
      <c r="E269" s="36"/>
      <c r="F269" s="36"/>
      <c r="G269" s="36"/>
      <c r="H269" s="36"/>
      <c r="I269" s="36"/>
      <c r="J269" s="36"/>
      <c r="K269" s="37">
        <v>1</v>
      </c>
      <c r="L269" s="37">
        <f>ROUND(6.6,3)</f>
        <v>6.6</v>
      </c>
      <c r="M269" s="38">
        <f t="shared" si="10"/>
        <v>6.6</v>
      </c>
    </row>
    <row r="270" spans="1:13" ht="22.5">
      <c r="A270" s="35" t="s">
        <v>566</v>
      </c>
      <c r="B270" s="35" t="s">
        <v>451</v>
      </c>
      <c r="C270" s="35" t="s">
        <v>56</v>
      </c>
      <c r="D270" s="36" t="s">
        <v>567</v>
      </c>
      <c r="E270" s="36"/>
      <c r="F270" s="36"/>
      <c r="G270" s="36"/>
      <c r="H270" s="36"/>
      <c r="I270" s="36"/>
      <c r="J270" s="36"/>
      <c r="K270" s="37">
        <v>1</v>
      </c>
      <c r="L270" s="37">
        <f>ROUND(7.84,3)</f>
        <v>7.84</v>
      </c>
      <c r="M270" s="38">
        <f t="shared" si="10"/>
        <v>7.84</v>
      </c>
    </row>
    <row r="271" spans="1:13">
      <c r="A271" s="35" t="s">
        <v>515</v>
      </c>
      <c r="B271" s="35" t="s">
        <v>451</v>
      </c>
      <c r="C271" s="35" t="s">
        <v>516</v>
      </c>
      <c r="D271" s="36" t="s">
        <v>517</v>
      </c>
      <c r="E271" s="36"/>
      <c r="F271" s="36"/>
      <c r="G271" s="36"/>
      <c r="H271" s="36"/>
      <c r="I271" s="36"/>
      <c r="J271" s="36"/>
      <c r="K271" s="37">
        <v>5.5E-2</v>
      </c>
      <c r="L271" s="37">
        <f>ROUND(9.601,3)</f>
        <v>9.6010000000000009</v>
      </c>
      <c r="M271" s="38">
        <f t="shared" si="10"/>
        <v>0.53</v>
      </c>
    </row>
    <row r="272" spans="1:13">
      <c r="A272" s="35" t="s">
        <v>454</v>
      </c>
      <c r="B272" s="35" t="s">
        <v>455</v>
      </c>
      <c r="C272" s="35" t="s">
        <v>456</v>
      </c>
      <c r="D272" s="36" t="s">
        <v>457</v>
      </c>
      <c r="E272" s="36"/>
      <c r="F272" s="36"/>
      <c r="G272" s="36"/>
      <c r="H272" s="36"/>
      <c r="I272" s="36"/>
      <c r="J272" s="36"/>
      <c r="K272" s="37">
        <v>0.13200000000000001</v>
      </c>
      <c r="L272" s="37">
        <f>ROUND(17.82,3)</f>
        <v>17.82</v>
      </c>
      <c r="M272" s="38">
        <f t="shared" si="10"/>
        <v>2.35</v>
      </c>
    </row>
    <row r="273" spans="1:13">
      <c r="A273" s="35" t="s">
        <v>458</v>
      </c>
      <c r="B273" s="35" t="s">
        <v>455</v>
      </c>
      <c r="C273" s="35" t="s">
        <v>456</v>
      </c>
      <c r="D273" s="36" t="s">
        <v>459</v>
      </c>
      <c r="E273" s="36"/>
      <c r="F273" s="36"/>
      <c r="G273" s="36"/>
      <c r="H273" s="36"/>
      <c r="I273" s="36"/>
      <c r="J273" s="36"/>
      <c r="K273" s="37">
        <v>0.13200000000000001</v>
      </c>
      <c r="L273" s="37">
        <f>ROUND(16.1,3)</f>
        <v>16.100000000000001</v>
      </c>
      <c r="M273" s="38">
        <f t="shared" si="10"/>
        <v>2.13</v>
      </c>
    </row>
    <row r="274" spans="1:13">
      <c r="A274" s="35" t="s">
        <v>460</v>
      </c>
      <c r="B274" s="35"/>
      <c r="C274" s="35" t="s">
        <v>460</v>
      </c>
      <c r="D274" s="36" t="s">
        <v>461</v>
      </c>
      <c r="E274" s="36"/>
      <c r="F274" s="36"/>
      <c r="G274" s="36"/>
      <c r="H274" s="36"/>
      <c r="I274" s="36"/>
      <c r="J274" s="36"/>
      <c r="K274" s="37">
        <v>2</v>
      </c>
      <c r="L274" s="37">
        <f>ROUND(19.72,3)</f>
        <v>19.72</v>
      </c>
      <c r="M274" s="38">
        <f>ROUND((K274*L274)/100,2)</f>
        <v>0.39</v>
      </c>
    </row>
    <row r="275" spans="1:13">
      <c r="A275" s="52"/>
      <c r="B275" s="52"/>
      <c r="C275" s="52"/>
      <c r="D275" s="53" t="s">
        <v>1044</v>
      </c>
      <c r="E275" s="52"/>
      <c r="F275" s="52"/>
      <c r="G275" s="52"/>
      <c r="H275" s="52"/>
      <c r="I275" s="52"/>
      <c r="J275" s="52"/>
      <c r="K275" s="54">
        <v>48.3</v>
      </c>
      <c r="L275" s="55">
        <f>ROUND((M268+M269+M270+M271+M272+M273+M274)*(1+M2/100),2)</f>
        <v>20.71</v>
      </c>
      <c r="M275" s="55">
        <f>ROUND(K275*L275,2)</f>
        <v>1000.29</v>
      </c>
    </row>
    <row r="276" spans="1:13">
      <c r="A276" s="56" t="s">
        <v>1045</v>
      </c>
      <c r="B276" s="57" t="s">
        <v>431</v>
      </c>
      <c r="C276" s="57" t="s">
        <v>422</v>
      </c>
      <c r="D276" s="58" t="s">
        <v>475</v>
      </c>
      <c r="E276" s="58"/>
      <c r="F276" s="58"/>
      <c r="G276" s="58"/>
      <c r="H276" s="58"/>
      <c r="I276" s="58"/>
      <c r="J276" s="58"/>
      <c r="K276" s="59">
        <f>SUM(K279:K279)</f>
        <v>6</v>
      </c>
      <c r="L276" s="60">
        <f>L285</f>
        <v>14.45</v>
      </c>
      <c r="M276" s="60">
        <f>ROUND(K276*L276,2)</f>
        <v>86.7</v>
      </c>
    </row>
    <row r="277" spans="1:13" ht="56.25">
      <c r="A277" s="39"/>
      <c r="B277" s="39"/>
      <c r="C277" s="39"/>
      <c r="D277" s="36" t="s">
        <v>476</v>
      </c>
      <c r="E277" s="36"/>
      <c r="F277" s="36"/>
      <c r="G277" s="36"/>
      <c r="H277" s="36"/>
      <c r="I277" s="36"/>
      <c r="J277" s="36"/>
      <c r="K277" s="36"/>
      <c r="L277" s="36"/>
      <c r="M277" s="36"/>
    </row>
    <row r="278" spans="1:13">
      <c r="A278" s="39"/>
      <c r="B278" s="39"/>
      <c r="C278" s="39"/>
      <c r="D278" s="39"/>
      <c r="E278" s="40"/>
      <c r="F278" s="41" t="s">
        <v>434</v>
      </c>
      <c r="G278" s="41" t="s">
        <v>435</v>
      </c>
      <c r="H278" s="41" t="s">
        <v>436</v>
      </c>
      <c r="I278" s="41" t="s">
        <v>437</v>
      </c>
      <c r="J278" s="41" t="s">
        <v>438</v>
      </c>
      <c r="K278" s="41" t="s">
        <v>439</v>
      </c>
      <c r="L278" s="39"/>
      <c r="M278" s="39"/>
    </row>
    <row r="279" spans="1:13">
      <c r="A279" s="39"/>
      <c r="B279" s="39"/>
      <c r="C279" s="39"/>
      <c r="D279" s="42"/>
      <c r="E279" s="43" t="s">
        <v>1029</v>
      </c>
      <c r="F279" s="44">
        <v>3</v>
      </c>
      <c r="G279" s="45">
        <v>2</v>
      </c>
      <c r="H279" s="45"/>
      <c r="I279" s="45"/>
      <c r="J279" s="46">
        <f>ROUND(F279*G279,3)</f>
        <v>6</v>
      </c>
      <c r="K279" s="47">
        <f>SUM(J279:J279)</f>
        <v>6</v>
      </c>
      <c r="L279" s="39"/>
      <c r="M279" s="39"/>
    </row>
    <row r="280" spans="1:13">
      <c r="A280" s="35" t="s">
        <v>478</v>
      </c>
      <c r="B280" s="35" t="s">
        <v>451</v>
      </c>
      <c r="C280" s="35" t="s">
        <v>422</v>
      </c>
      <c r="D280" s="36" t="s">
        <v>475</v>
      </c>
      <c r="E280" s="36"/>
      <c r="F280" s="36"/>
      <c r="G280" s="36"/>
      <c r="H280" s="36"/>
      <c r="I280" s="36"/>
      <c r="J280" s="36"/>
      <c r="K280" s="37">
        <v>1</v>
      </c>
      <c r="L280" s="37">
        <f>ROUND(9.81,3)</f>
        <v>9.81</v>
      </c>
      <c r="M280" s="38">
        <f>ROUND(K280*L280,2)</f>
        <v>9.81</v>
      </c>
    </row>
    <row r="281" spans="1:13" ht="22.5">
      <c r="A281" s="35" t="s">
        <v>452</v>
      </c>
      <c r="B281" s="35" t="s">
        <v>451</v>
      </c>
      <c r="C281" s="35" t="s">
        <v>422</v>
      </c>
      <c r="D281" s="36" t="s">
        <v>453</v>
      </c>
      <c r="E281" s="36"/>
      <c r="F281" s="36"/>
      <c r="G281" s="36"/>
      <c r="H281" s="36"/>
      <c r="I281" s="36"/>
      <c r="J281" s="36"/>
      <c r="K281" s="37">
        <v>0.1</v>
      </c>
      <c r="L281" s="37">
        <f>ROUND(2.1,3)</f>
        <v>2.1</v>
      </c>
      <c r="M281" s="38">
        <f>ROUND(K281*L281,2)</f>
        <v>0.21</v>
      </c>
    </row>
    <row r="282" spans="1:13">
      <c r="A282" s="35" t="s">
        <v>454</v>
      </c>
      <c r="B282" s="35" t="s">
        <v>455</v>
      </c>
      <c r="C282" s="35" t="s">
        <v>456</v>
      </c>
      <c r="D282" s="36" t="s">
        <v>457</v>
      </c>
      <c r="E282" s="36"/>
      <c r="F282" s="36"/>
      <c r="G282" s="36"/>
      <c r="H282" s="36"/>
      <c r="I282" s="36"/>
      <c r="J282" s="36"/>
      <c r="K282" s="37">
        <v>0.11</v>
      </c>
      <c r="L282" s="37">
        <f>ROUND(17.82,3)</f>
        <v>17.82</v>
      </c>
      <c r="M282" s="38">
        <f>ROUND(K282*L282,2)</f>
        <v>1.96</v>
      </c>
    </row>
    <row r="283" spans="1:13">
      <c r="A283" s="35" t="s">
        <v>458</v>
      </c>
      <c r="B283" s="35" t="s">
        <v>455</v>
      </c>
      <c r="C283" s="35" t="s">
        <v>456</v>
      </c>
      <c r="D283" s="36" t="s">
        <v>459</v>
      </c>
      <c r="E283" s="36"/>
      <c r="F283" s="36"/>
      <c r="G283" s="36"/>
      <c r="H283" s="36"/>
      <c r="I283" s="36"/>
      <c r="J283" s="36"/>
      <c r="K283" s="37">
        <v>0.11</v>
      </c>
      <c r="L283" s="37">
        <f>ROUND(16.1,3)</f>
        <v>16.100000000000001</v>
      </c>
      <c r="M283" s="38">
        <f>ROUND(K283*L283,2)</f>
        <v>1.77</v>
      </c>
    </row>
    <row r="284" spans="1:13">
      <c r="A284" s="35" t="s">
        <v>460</v>
      </c>
      <c r="B284" s="35"/>
      <c r="C284" s="35" t="s">
        <v>460</v>
      </c>
      <c r="D284" s="36" t="s">
        <v>461</v>
      </c>
      <c r="E284" s="36"/>
      <c r="F284" s="36"/>
      <c r="G284" s="36"/>
      <c r="H284" s="36"/>
      <c r="I284" s="36"/>
      <c r="J284" s="36"/>
      <c r="K284" s="37">
        <v>2</v>
      </c>
      <c r="L284" s="37">
        <f>ROUND(13.75,3)</f>
        <v>13.75</v>
      </c>
      <c r="M284" s="38">
        <f>ROUND((K284*L284)/100,2)</f>
        <v>0.28000000000000003</v>
      </c>
    </row>
    <row r="285" spans="1:13">
      <c r="A285" s="52"/>
      <c r="B285" s="52"/>
      <c r="C285" s="52"/>
      <c r="D285" s="53" t="s">
        <v>1045</v>
      </c>
      <c r="E285" s="52"/>
      <c r="F285" s="52"/>
      <c r="G285" s="52"/>
      <c r="H285" s="52"/>
      <c r="I285" s="52"/>
      <c r="J285" s="52"/>
      <c r="K285" s="54">
        <v>6</v>
      </c>
      <c r="L285" s="55">
        <f>ROUND((M280+M281+M282+M283+M284)*(1+M2/100),2)</f>
        <v>14.45</v>
      </c>
      <c r="M285" s="55">
        <f>ROUND(K285*L285,2)</f>
        <v>86.7</v>
      </c>
    </row>
    <row r="286" spans="1:13">
      <c r="A286" s="56" t="s">
        <v>1046</v>
      </c>
      <c r="B286" s="57" t="s">
        <v>431</v>
      </c>
      <c r="C286" s="57" t="s">
        <v>422</v>
      </c>
      <c r="D286" s="58" t="s">
        <v>579</v>
      </c>
      <c r="E286" s="58"/>
      <c r="F286" s="58"/>
      <c r="G286" s="58"/>
      <c r="H286" s="58"/>
      <c r="I286" s="58"/>
      <c r="J286" s="58"/>
      <c r="K286" s="59">
        <f>SUM(K289:K290)</f>
        <v>4</v>
      </c>
      <c r="L286" s="60">
        <f>L296</f>
        <v>26.8</v>
      </c>
      <c r="M286" s="60">
        <f>ROUND(K286*L286,2)</f>
        <v>107.2</v>
      </c>
    </row>
    <row r="287" spans="1:13" ht="56.25">
      <c r="A287" s="39"/>
      <c r="B287" s="39"/>
      <c r="C287" s="39"/>
      <c r="D287" s="36" t="s">
        <v>580</v>
      </c>
      <c r="E287" s="36"/>
      <c r="F287" s="36"/>
      <c r="G287" s="36"/>
      <c r="H287" s="36"/>
      <c r="I287" s="36"/>
      <c r="J287" s="36"/>
      <c r="K287" s="36"/>
      <c r="L287" s="36"/>
      <c r="M287" s="36"/>
    </row>
    <row r="288" spans="1:13">
      <c r="A288" s="39"/>
      <c r="B288" s="39"/>
      <c r="C288" s="39"/>
      <c r="D288" s="39"/>
      <c r="E288" s="40"/>
      <c r="F288" s="41" t="s">
        <v>434</v>
      </c>
      <c r="G288" s="41" t="s">
        <v>435</v>
      </c>
      <c r="H288" s="41" t="s">
        <v>436</v>
      </c>
      <c r="I288" s="41" t="s">
        <v>437</v>
      </c>
      <c r="J288" s="41" t="s">
        <v>438</v>
      </c>
      <c r="K288" s="41" t="s">
        <v>439</v>
      </c>
      <c r="L288" s="39"/>
      <c r="M288" s="39"/>
    </row>
    <row r="289" spans="1:13" ht="22.5">
      <c r="A289" s="39"/>
      <c r="B289" s="39"/>
      <c r="C289" s="39"/>
      <c r="D289" s="42"/>
      <c r="E289" s="43" t="s">
        <v>1030</v>
      </c>
      <c r="F289" s="44">
        <v>2</v>
      </c>
      <c r="G289" s="45"/>
      <c r="H289" s="45"/>
      <c r="I289" s="45"/>
      <c r="J289" s="46">
        <f>ROUND(F289,3)</f>
        <v>2</v>
      </c>
      <c r="K289" s="48"/>
      <c r="L289" s="39"/>
      <c r="M289" s="39"/>
    </row>
    <row r="290" spans="1:13" ht="22.5">
      <c r="A290" s="39"/>
      <c r="B290" s="39"/>
      <c r="C290" s="39"/>
      <c r="D290" s="42"/>
      <c r="E290" s="35" t="s">
        <v>1031</v>
      </c>
      <c r="F290" s="49">
        <v>2</v>
      </c>
      <c r="G290" s="37"/>
      <c r="H290" s="37"/>
      <c r="I290" s="37"/>
      <c r="J290" s="50">
        <f>ROUND(F290,3)</f>
        <v>2</v>
      </c>
      <c r="K290" s="51">
        <f>SUM(J289:J290)</f>
        <v>4</v>
      </c>
      <c r="L290" s="39"/>
      <c r="M290" s="39"/>
    </row>
    <row r="291" spans="1:13">
      <c r="A291" s="35" t="s">
        <v>583</v>
      </c>
      <c r="B291" s="35" t="s">
        <v>451</v>
      </c>
      <c r="C291" s="35" t="s">
        <v>422</v>
      </c>
      <c r="D291" s="36" t="s">
        <v>579</v>
      </c>
      <c r="E291" s="36"/>
      <c r="F291" s="36"/>
      <c r="G291" s="36"/>
      <c r="H291" s="36"/>
      <c r="I291" s="36"/>
      <c r="J291" s="36"/>
      <c r="K291" s="37">
        <v>1</v>
      </c>
      <c r="L291" s="37">
        <f>ROUND(21.57,3)</f>
        <v>21.57</v>
      </c>
      <c r="M291" s="38">
        <f>ROUND(K291*L291,2)</f>
        <v>21.57</v>
      </c>
    </row>
    <row r="292" spans="1:13" ht="22.5">
      <c r="A292" s="35" t="s">
        <v>452</v>
      </c>
      <c r="B292" s="35" t="s">
        <v>451</v>
      </c>
      <c r="C292" s="35" t="s">
        <v>422</v>
      </c>
      <c r="D292" s="36" t="s">
        <v>453</v>
      </c>
      <c r="E292" s="36"/>
      <c r="F292" s="36"/>
      <c r="G292" s="36"/>
      <c r="H292" s="36"/>
      <c r="I292" s="36"/>
      <c r="J292" s="36"/>
      <c r="K292" s="37">
        <v>0.1</v>
      </c>
      <c r="L292" s="37">
        <f>ROUND(2.1,3)</f>
        <v>2.1</v>
      </c>
      <c r="M292" s="38">
        <f>ROUND(K292*L292,2)</f>
        <v>0.21</v>
      </c>
    </row>
    <row r="293" spans="1:13">
      <c r="A293" s="35" t="s">
        <v>454</v>
      </c>
      <c r="B293" s="35" t="s">
        <v>455</v>
      </c>
      <c r="C293" s="35" t="s">
        <v>456</v>
      </c>
      <c r="D293" s="36" t="s">
        <v>457</v>
      </c>
      <c r="E293" s="36"/>
      <c r="F293" s="36"/>
      <c r="G293" s="36"/>
      <c r="H293" s="36"/>
      <c r="I293" s="36"/>
      <c r="J293" s="36"/>
      <c r="K293" s="37">
        <v>0.11</v>
      </c>
      <c r="L293" s="37">
        <f>ROUND(17.82,3)</f>
        <v>17.82</v>
      </c>
      <c r="M293" s="38">
        <f>ROUND(K293*L293,2)</f>
        <v>1.96</v>
      </c>
    </row>
    <row r="294" spans="1:13">
      <c r="A294" s="35" t="s">
        <v>458</v>
      </c>
      <c r="B294" s="35" t="s">
        <v>455</v>
      </c>
      <c r="C294" s="35" t="s">
        <v>456</v>
      </c>
      <c r="D294" s="36" t="s">
        <v>459</v>
      </c>
      <c r="E294" s="36"/>
      <c r="F294" s="36"/>
      <c r="G294" s="36"/>
      <c r="H294" s="36"/>
      <c r="I294" s="36"/>
      <c r="J294" s="36"/>
      <c r="K294" s="37">
        <v>0.11</v>
      </c>
      <c r="L294" s="37">
        <f>ROUND(16.1,3)</f>
        <v>16.100000000000001</v>
      </c>
      <c r="M294" s="38">
        <f>ROUND(K294*L294,2)</f>
        <v>1.77</v>
      </c>
    </row>
    <row r="295" spans="1:13">
      <c r="A295" s="35" t="s">
        <v>460</v>
      </c>
      <c r="B295" s="35"/>
      <c r="C295" s="35" t="s">
        <v>460</v>
      </c>
      <c r="D295" s="36" t="s">
        <v>461</v>
      </c>
      <c r="E295" s="36"/>
      <c r="F295" s="36"/>
      <c r="G295" s="36"/>
      <c r="H295" s="36"/>
      <c r="I295" s="36"/>
      <c r="J295" s="36"/>
      <c r="K295" s="37">
        <v>2</v>
      </c>
      <c r="L295" s="37">
        <f>ROUND(25.51,3)</f>
        <v>25.51</v>
      </c>
      <c r="M295" s="38">
        <f>ROUND((K295*L295)/100,2)</f>
        <v>0.51</v>
      </c>
    </row>
    <row r="296" spans="1:13">
      <c r="A296" s="52"/>
      <c r="B296" s="52"/>
      <c r="C296" s="52"/>
      <c r="D296" s="53" t="s">
        <v>1046</v>
      </c>
      <c r="E296" s="52"/>
      <c r="F296" s="52"/>
      <c r="G296" s="52"/>
      <c r="H296" s="52"/>
      <c r="I296" s="52"/>
      <c r="J296" s="52"/>
      <c r="K296" s="54">
        <v>4</v>
      </c>
      <c r="L296" s="55">
        <f>ROUND((M291+M292+M293+M294+M295)*(1+M2/100),2)</f>
        <v>26.8</v>
      </c>
      <c r="M296" s="55">
        <f>ROUND(K296*L296,2)</f>
        <v>107.2</v>
      </c>
    </row>
    <row r="297" spans="1:13">
      <c r="A297" s="56" t="s">
        <v>584</v>
      </c>
      <c r="B297" s="57" t="s">
        <v>431</v>
      </c>
      <c r="C297" s="57" t="s">
        <v>3</v>
      </c>
      <c r="D297" s="58" t="s">
        <v>585</v>
      </c>
      <c r="E297" s="58"/>
      <c r="F297" s="58"/>
      <c r="G297" s="58"/>
      <c r="H297" s="58"/>
      <c r="I297" s="58"/>
      <c r="J297" s="58"/>
      <c r="K297" s="59">
        <f>SUM(K300:K301)</f>
        <v>2</v>
      </c>
      <c r="L297" s="60">
        <f>ROUND(385*(1+M2/100),2)</f>
        <v>396.55</v>
      </c>
      <c r="M297" s="60">
        <f>ROUND(K297*L297,2)</f>
        <v>793.1</v>
      </c>
    </row>
    <row r="298" spans="1:13">
      <c r="A298" s="39"/>
      <c r="B298" s="39"/>
      <c r="C298" s="39"/>
      <c r="D298" s="36" t="s">
        <v>586</v>
      </c>
      <c r="E298" s="36"/>
      <c r="F298" s="36"/>
      <c r="G298" s="36"/>
      <c r="H298" s="36"/>
      <c r="I298" s="36"/>
      <c r="J298" s="36"/>
      <c r="K298" s="36"/>
      <c r="L298" s="36"/>
      <c r="M298" s="36"/>
    </row>
    <row r="299" spans="1:13">
      <c r="A299" s="39"/>
      <c r="B299" s="39"/>
      <c r="C299" s="39"/>
      <c r="D299" s="39"/>
      <c r="E299" s="40"/>
      <c r="F299" s="41" t="s">
        <v>434</v>
      </c>
      <c r="G299" s="41" t="s">
        <v>435</v>
      </c>
      <c r="H299" s="41" t="s">
        <v>436</v>
      </c>
      <c r="I299" s="41" t="s">
        <v>437</v>
      </c>
      <c r="J299" s="41" t="s">
        <v>438</v>
      </c>
      <c r="K299" s="41" t="s">
        <v>439</v>
      </c>
      <c r="L299" s="39"/>
      <c r="M299" s="39"/>
    </row>
    <row r="300" spans="1:13">
      <c r="A300" s="39"/>
      <c r="B300" s="39"/>
      <c r="C300" s="39"/>
      <c r="D300" s="42"/>
      <c r="E300" s="43"/>
      <c r="F300" s="44">
        <v>1</v>
      </c>
      <c r="G300" s="45"/>
      <c r="H300" s="45"/>
      <c r="I300" s="45"/>
      <c r="J300" s="46">
        <f>ROUND(F300,3)</f>
        <v>1</v>
      </c>
      <c r="K300" s="48"/>
      <c r="L300" s="39"/>
      <c r="M300" s="39"/>
    </row>
    <row r="301" spans="1:13">
      <c r="A301" s="39"/>
      <c r="B301" s="39"/>
      <c r="C301" s="39"/>
      <c r="D301" s="42"/>
      <c r="E301" s="35"/>
      <c r="F301" s="49">
        <v>1</v>
      </c>
      <c r="G301" s="37"/>
      <c r="H301" s="37"/>
      <c r="I301" s="37"/>
      <c r="J301" s="50">
        <f>ROUND(F301,3)</f>
        <v>1</v>
      </c>
      <c r="K301" s="51">
        <f>SUM(J300:J301)</f>
        <v>2</v>
      </c>
      <c r="L301" s="39"/>
      <c r="M301" s="39"/>
    </row>
    <row r="302" spans="1:13">
      <c r="A302" s="34" t="s">
        <v>622</v>
      </c>
      <c r="B302" s="35" t="s">
        <v>431</v>
      </c>
      <c r="C302" s="35" t="s">
        <v>3</v>
      </c>
      <c r="D302" s="36" t="s">
        <v>623</v>
      </c>
      <c r="E302" s="36"/>
      <c r="F302" s="36"/>
      <c r="G302" s="36"/>
      <c r="H302" s="36"/>
      <c r="I302" s="36"/>
      <c r="J302" s="36"/>
      <c r="K302" s="37">
        <f>SUM(K305:K306)</f>
        <v>7</v>
      </c>
      <c r="L302" s="38">
        <f>L311</f>
        <v>1595.6</v>
      </c>
      <c r="M302" s="38">
        <f>ROUND(K302*L302,2)</f>
        <v>11169.2</v>
      </c>
    </row>
    <row r="303" spans="1:13">
      <c r="A303" s="39"/>
      <c r="B303" s="39"/>
      <c r="C303" s="39"/>
      <c r="D303" s="36" t="s">
        <v>624</v>
      </c>
      <c r="E303" s="36"/>
      <c r="F303" s="36"/>
      <c r="G303" s="36"/>
      <c r="H303" s="36"/>
      <c r="I303" s="36"/>
      <c r="J303" s="36"/>
      <c r="K303" s="36"/>
      <c r="L303" s="36"/>
      <c r="M303" s="36"/>
    </row>
    <row r="304" spans="1:13">
      <c r="A304" s="39"/>
      <c r="B304" s="39"/>
      <c r="C304" s="39"/>
      <c r="D304" s="39"/>
      <c r="E304" s="40"/>
      <c r="F304" s="41" t="s">
        <v>434</v>
      </c>
      <c r="G304" s="41" t="s">
        <v>435</v>
      </c>
      <c r="H304" s="41" t="s">
        <v>436</v>
      </c>
      <c r="I304" s="41" t="s">
        <v>437</v>
      </c>
      <c r="J304" s="41" t="s">
        <v>438</v>
      </c>
      <c r="K304" s="41" t="s">
        <v>439</v>
      </c>
      <c r="L304" s="39"/>
      <c r="M304" s="39"/>
    </row>
    <row r="305" spans="1:13">
      <c r="A305" s="39"/>
      <c r="B305" s="39"/>
      <c r="C305" s="39"/>
      <c r="D305" s="42"/>
      <c r="E305" s="43" t="s">
        <v>1032</v>
      </c>
      <c r="F305" s="44">
        <v>3</v>
      </c>
      <c r="G305" s="45"/>
      <c r="H305" s="45"/>
      <c r="I305" s="45"/>
      <c r="J305" s="46">
        <f>ROUND(F305,3)</f>
        <v>3</v>
      </c>
      <c r="K305" s="48"/>
      <c r="L305" s="39"/>
      <c r="M305" s="39"/>
    </row>
    <row r="306" spans="1:13">
      <c r="A306" s="39"/>
      <c r="B306" s="39"/>
      <c r="C306" s="39"/>
      <c r="D306" s="42"/>
      <c r="E306" s="35" t="s">
        <v>1033</v>
      </c>
      <c r="F306" s="49">
        <v>4</v>
      </c>
      <c r="G306" s="37"/>
      <c r="H306" s="37"/>
      <c r="I306" s="37"/>
      <c r="J306" s="50">
        <f>ROUND(F306,3)</f>
        <v>4</v>
      </c>
      <c r="K306" s="51">
        <f>SUM(J305:J306)</f>
        <v>7</v>
      </c>
      <c r="L306" s="39"/>
      <c r="M306" s="39"/>
    </row>
    <row r="307" spans="1:13">
      <c r="A307" s="35" t="s">
        <v>529</v>
      </c>
      <c r="B307" s="35" t="s">
        <v>455</v>
      </c>
      <c r="C307" s="35" t="s">
        <v>456</v>
      </c>
      <c r="D307" s="36" t="s">
        <v>530</v>
      </c>
      <c r="E307" s="36"/>
      <c r="F307" s="36"/>
      <c r="G307" s="36"/>
      <c r="H307" s="36"/>
      <c r="I307" s="36"/>
      <c r="J307" s="36"/>
      <c r="K307" s="37">
        <v>0.88</v>
      </c>
      <c r="L307" s="37">
        <f>ROUND(17.32,3)</f>
        <v>17.32</v>
      </c>
      <c r="M307" s="38">
        <f t="shared" ref="M307:M312" si="11">ROUND(K307*L307,2)</f>
        <v>15.24</v>
      </c>
    </row>
    <row r="308" spans="1:13">
      <c r="A308" s="35" t="s">
        <v>527</v>
      </c>
      <c r="B308" s="35" t="s">
        <v>455</v>
      </c>
      <c r="C308" s="35" t="s">
        <v>456</v>
      </c>
      <c r="D308" s="36" t="s">
        <v>528</v>
      </c>
      <c r="E308" s="36"/>
      <c r="F308" s="36"/>
      <c r="G308" s="36"/>
      <c r="H308" s="36"/>
      <c r="I308" s="36"/>
      <c r="J308" s="36"/>
      <c r="K308" s="37">
        <v>0.88</v>
      </c>
      <c r="L308" s="37">
        <f>ROUND(20.33,3)</f>
        <v>20.329999999999998</v>
      </c>
      <c r="M308" s="38">
        <f t="shared" si="11"/>
        <v>17.89</v>
      </c>
    </row>
    <row r="309" spans="1:13">
      <c r="A309" s="35" t="s">
        <v>625</v>
      </c>
      <c r="B309" s="35" t="s">
        <v>451</v>
      </c>
      <c r="C309" s="35" t="s">
        <v>3</v>
      </c>
      <c r="D309" s="36" t="s">
        <v>626</v>
      </c>
      <c r="E309" s="36"/>
      <c r="F309" s="36"/>
      <c r="G309" s="36"/>
      <c r="H309" s="36"/>
      <c r="I309" s="36"/>
      <c r="J309" s="36"/>
      <c r="K309" s="37">
        <v>1</v>
      </c>
      <c r="L309" s="37">
        <f>ROUND(1512.4,3)</f>
        <v>1512.4</v>
      </c>
      <c r="M309" s="38">
        <f t="shared" si="11"/>
        <v>1512.4</v>
      </c>
    </row>
    <row r="310" spans="1:13" ht="22.5">
      <c r="A310" s="35" t="s">
        <v>531</v>
      </c>
      <c r="B310" s="35" t="s">
        <v>451</v>
      </c>
      <c r="C310" s="35" t="s">
        <v>56</v>
      </c>
      <c r="D310" s="36" t="s">
        <v>532</v>
      </c>
      <c r="E310" s="36"/>
      <c r="F310" s="36"/>
      <c r="G310" s="36"/>
      <c r="H310" s="36"/>
      <c r="I310" s="36"/>
      <c r="J310" s="36"/>
      <c r="K310" s="37">
        <v>9</v>
      </c>
      <c r="L310" s="37">
        <f>ROUND(0.4,3)</f>
        <v>0.4</v>
      </c>
      <c r="M310" s="38">
        <f t="shared" si="11"/>
        <v>3.6</v>
      </c>
    </row>
    <row r="311" spans="1:13">
      <c r="A311" s="52"/>
      <c r="B311" s="52"/>
      <c r="C311" s="52"/>
      <c r="D311" s="53" t="s">
        <v>622</v>
      </c>
      <c r="E311" s="52"/>
      <c r="F311" s="52"/>
      <c r="G311" s="52"/>
      <c r="H311" s="52"/>
      <c r="I311" s="52"/>
      <c r="J311" s="52"/>
      <c r="K311" s="54">
        <v>7</v>
      </c>
      <c r="L311" s="55">
        <f>ROUND((M307+M308+M309+M310)*(1+M2/100),2)</f>
        <v>1595.6</v>
      </c>
      <c r="M311" s="55">
        <f t="shared" si="11"/>
        <v>11169.2</v>
      </c>
    </row>
    <row r="312" spans="1:13">
      <c r="A312" s="56" t="s">
        <v>627</v>
      </c>
      <c r="B312" s="57" t="s">
        <v>431</v>
      </c>
      <c r="C312" s="57" t="s">
        <v>3</v>
      </c>
      <c r="D312" s="58" t="s">
        <v>629</v>
      </c>
      <c r="E312" s="58"/>
      <c r="F312" s="58"/>
      <c r="G312" s="58"/>
      <c r="H312" s="58"/>
      <c r="I312" s="58"/>
      <c r="J312" s="58"/>
      <c r="K312" s="59">
        <f>SUM(K315:K316)</f>
        <v>7</v>
      </c>
      <c r="L312" s="60">
        <f>L320</f>
        <v>191.31</v>
      </c>
      <c r="M312" s="60">
        <f t="shared" si="11"/>
        <v>1339.17</v>
      </c>
    </row>
    <row r="313" spans="1:13">
      <c r="A313" s="39"/>
      <c r="B313" s="39"/>
      <c r="C313" s="39"/>
      <c r="D313" s="36" t="s">
        <v>629</v>
      </c>
      <c r="E313" s="36"/>
      <c r="F313" s="36"/>
      <c r="G313" s="36"/>
      <c r="H313" s="36"/>
      <c r="I313" s="36"/>
      <c r="J313" s="36"/>
      <c r="K313" s="36"/>
      <c r="L313" s="36"/>
      <c r="M313" s="36"/>
    </row>
    <row r="314" spans="1:13">
      <c r="A314" s="39"/>
      <c r="B314" s="39"/>
      <c r="C314" s="39"/>
      <c r="D314" s="39"/>
      <c r="E314" s="40"/>
      <c r="F314" s="41" t="s">
        <v>434</v>
      </c>
      <c r="G314" s="41" t="s">
        <v>435</v>
      </c>
      <c r="H314" s="41" t="s">
        <v>436</v>
      </c>
      <c r="I314" s="41" t="s">
        <v>437</v>
      </c>
      <c r="J314" s="41" t="s">
        <v>438</v>
      </c>
      <c r="K314" s="41" t="s">
        <v>439</v>
      </c>
      <c r="L314" s="39"/>
      <c r="M314" s="39"/>
    </row>
    <row r="315" spans="1:13">
      <c r="A315" s="39"/>
      <c r="B315" s="39"/>
      <c r="C315" s="39"/>
      <c r="D315" s="42"/>
      <c r="E315" s="43" t="s">
        <v>1032</v>
      </c>
      <c r="F315" s="44">
        <v>3</v>
      </c>
      <c r="G315" s="45"/>
      <c r="H315" s="45"/>
      <c r="I315" s="45"/>
      <c r="J315" s="46">
        <f>ROUND(F315,3)</f>
        <v>3</v>
      </c>
      <c r="K315" s="48"/>
      <c r="L315" s="39"/>
      <c r="M315" s="39"/>
    </row>
    <row r="316" spans="1:13">
      <c r="A316" s="39"/>
      <c r="B316" s="39"/>
      <c r="C316" s="39"/>
      <c r="D316" s="42"/>
      <c r="E316" s="35" t="s">
        <v>1033</v>
      </c>
      <c r="F316" s="49">
        <v>4</v>
      </c>
      <c r="G316" s="37"/>
      <c r="H316" s="37"/>
      <c r="I316" s="37"/>
      <c r="J316" s="50">
        <f>ROUND(F316,3)</f>
        <v>4</v>
      </c>
      <c r="K316" s="51">
        <f>SUM(J315:J316)</f>
        <v>7</v>
      </c>
      <c r="L316" s="39"/>
      <c r="M316" s="39"/>
    </row>
    <row r="317" spans="1:13">
      <c r="A317" s="35" t="s">
        <v>529</v>
      </c>
      <c r="B317" s="35" t="s">
        <v>455</v>
      </c>
      <c r="C317" s="35" t="s">
        <v>456</v>
      </c>
      <c r="D317" s="36" t="s">
        <v>530</v>
      </c>
      <c r="E317" s="36"/>
      <c r="F317" s="36"/>
      <c r="G317" s="36"/>
      <c r="H317" s="36"/>
      <c r="I317" s="36"/>
      <c r="J317" s="36"/>
      <c r="K317" s="37">
        <v>1</v>
      </c>
      <c r="L317" s="37">
        <f>ROUND(17.32,3)</f>
        <v>17.32</v>
      </c>
      <c r="M317" s="38">
        <f>ROUND(K317*L317,2)</f>
        <v>17.32</v>
      </c>
    </row>
    <row r="318" spans="1:13">
      <c r="A318" s="35" t="s">
        <v>458</v>
      </c>
      <c r="B318" s="35" t="s">
        <v>455</v>
      </c>
      <c r="C318" s="35" t="s">
        <v>456</v>
      </c>
      <c r="D318" s="36" t="s">
        <v>459</v>
      </c>
      <c r="E318" s="36"/>
      <c r="F318" s="36"/>
      <c r="G318" s="36"/>
      <c r="H318" s="36"/>
      <c r="I318" s="36"/>
      <c r="J318" s="36"/>
      <c r="K318" s="37">
        <v>1</v>
      </c>
      <c r="L318" s="37">
        <f>ROUND(16.1,3)</f>
        <v>16.100000000000001</v>
      </c>
      <c r="M318" s="38">
        <f>ROUND(K318*L318,2)</f>
        <v>16.100000000000001</v>
      </c>
    </row>
    <row r="319" spans="1:13">
      <c r="A319" s="35" t="s">
        <v>630</v>
      </c>
      <c r="B319" s="35" t="s">
        <v>451</v>
      </c>
      <c r="C319" s="35" t="s">
        <v>3</v>
      </c>
      <c r="D319" s="36" t="s">
        <v>631</v>
      </c>
      <c r="E319" s="36"/>
      <c r="F319" s="36"/>
      <c r="G319" s="36"/>
      <c r="H319" s="36"/>
      <c r="I319" s="36"/>
      <c r="J319" s="36"/>
      <c r="K319" s="37">
        <v>1</v>
      </c>
      <c r="L319" s="37">
        <f>ROUND(152.32,3)</f>
        <v>152.32</v>
      </c>
      <c r="M319" s="38">
        <f>ROUND(K319*L319,2)</f>
        <v>152.32</v>
      </c>
    </row>
    <row r="320" spans="1:13">
      <c r="A320" s="52"/>
      <c r="B320" s="52"/>
      <c r="C320" s="52"/>
      <c r="D320" s="53" t="s">
        <v>627</v>
      </c>
      <c r="E320" s="52"/>
      <c r="F320" s="52"/>
      <c r="G320" s="52"/>
      <c r="H320" s="52"/>
      <c r="I320" s="52"/>
      <c r="J320" s="52"/>
      <c r="K320" s="54">
        <v>7</v>
      </c>
      <c r="L320" s="55">
        <f>ROUND((M317+M318+M319)*(1+M2/100),2)</f>
        <v>191.31</v>
      </c>
      <c r="M320" s="55">
        <f>ROUND(K320*L320,2)</f>
        <v>1339.17</v>
      </c>
    </row>
    <row r="321" spans="1:13">
      <c r="A321" s="56" t="s">
        <v>650</v>
      </c>
      <c r="B321" s="57" t="s">
        <v>431</v>
      </c>
      <c r="C321" s="57" t="s">
        <v>422</v>
      </c>
      <c r="D321" s="58" t="s">
        <v>1034</v>
      </c>
      <c r="E321" s="58"/>
      <c r="F321" s="58"/>
      <c r="G321" s="58"/>
      <c r="H321" s="58"/>
      <c r="I321" s="58"/>
      <c r="J321" s="58"/>
      <c r="K321" s="59">
        <f>ROUND(7,2)</f>
        <v>7</v>
      </c>
      <c r="L321" s="60">
        <f>L326</f>
        <v>47.15</v>
      </c>
      <c r="M321" s="60">
        <f>ROUND(K321*L321,2)</f>
        <v>330.05</v>
      </c>
    </row>
    <row r="322" spans="1:13" ht="67.5">
      <c r="A322" s="39"/>
      <c r="B322" s="39"/>
      <c r="C322" s="39"/>
      <c r="D322" s="36" t="s">
        <v>634</v>
      </c>
      <c r="E322" s="36"/>
      <c r="F322" s="36"/>
      <c r="G322" s="36"/>
      <c r="H322" s="36"/>
      <c r="I322" s="36"/>
      <c r="J322" s="36"/>
      <c r="K322" s="36"/>
      <c r="L322" s="36"/>
      <c r="M322" s="36"/>
    </row>
    <row r="323" spans="1:13" ht="22.5">
      <c r="A323" s="35" t="s">
        <v>635</v>
      </c>
      <c r="B323" s="35" t="s">
        <v>451</v>
      </c>
      <c r="C323" s="35" t="s">
        <v>422</v>
      </c>
      <c r="D323" s="36" t="s">
        <v>636</v>
      </c>
      <c r="E323" s="36"/>
      <c r="F323" s="36"/>
      <c r="G323" s="36"/>
      <c r="H323" s="36"/>
      <c r="I323" s="36"/>
      <c r="J323" s="36"/>
      <c r="K323" s="37">
        <v>1</v>
      </c>
      <c r="L323" s="37">
        <f>ROUND(39.29,3)</f>
        <v>39.29</v>
      </c>
      <c r="M323" s="38">
        <f>ROUND(K323*L323,2)</f>
        <v>39.29</v>
      </c>
    </row>
    <row r="324" spans="1:13">
      <c r="A324" s="35" t="s">
        <v>493</v>
      </c>
      <c r="B324" s="35" t="s">
        <v>455</v>
      </c>
      <c r="C324" s="35" t="s">
        <v>456</v>
      </c>
      <c r="D324" s="36" t="s">
        <v>494</v>
      </c>
      <c r="E324" s="36"/>
      <c r="F324" s="36"/>
      <c r="G324" s="36"/>
      <c r="H324" s="36"/>
      <c r="I324" s="36"/>
      <c r="J324" s="36"/>
      <c r="K324" s="37">
        <v>0.27500000000000002</v>
      </c>
      <c r="L324" s="37">
        <f>ROUND(20.33,3)</f>
        <v>20.329999999999998</v>
      </c>
      <c r="M324" s="38">
        <f>ROUND(K324*L324,2)</f>
        <v>5.59</v>
      </c>
    </row>
    <row r="325" spans="1:13">
      <c r="A325" s="35" t="s">
        <v>460</v>
      </c>
      <c r="B325" s="35"/>
      <c r="C325" s="35" t="s">
        <v>460</v>
      </c>
      <c r="D325" s="36" t="s">
        <v>461</v>
      </c>
      <c r="E325" s="36"/>
      <c r="F325" s="36"/>
      <c r="G325" s="36"/>
      <c r="H325" s="36"/>
      <c r="I325" s="36"/>
      <c r="J325" s="36"/>
      <c r="K325" s="37">
        <v>2</v>
      </c>
      <c r="L325" s="37">
        <f>ROUND(44.88,3)</f>
        <v>44.88</v>
      </c>
      <c r="M325" s="38">
        <f>ROUND((K325*L325)/100,2)</f>
        <v>0.9</v>
      </c>
    </row>
    <row r="326" spans="1:13">
      <c r="A326" s="52"/>
      <c r="B326" s="52"/>
      <c r="C326" s="52"/>
      <c r="D326" s="53" t="s">
        <v>650</v>
      </c>
      <c r="E326" s="52"/>
      <c r="F326" s="52"/>
      <c r="G326" s="52"/>
      <c r="H326" s="52"/>
      <c r="I326" s="52"/>
      <c r="J326" s="52"/>
      <c r="K326" s="54">
        <v>7</v>
      </c>
      <c r="L326" s="55">
        <f>ROUND((M323+M324+M325)*(1+M2/100),2)</f>
        <v>47.15</v>
      </c>
      <c r="M326" s="55">
        <f>ROUND(K326*L326,2)</f>
        <v>330.05</v>
      </c>
    </row>
    <row r="327" spans="1:13">
      <c r="A327" s="56" t="s">
        <v>637</v>
      </c>
      <c r="B327" s="57" t="s">
        <v>431</v>
      </c>
      <c r="C327" s="57" t="s">
        <v>3</v>
      </c>
      <c r="D327" s="58" t="s">
        <v>638</v>
      </c>
      <c r="E327" s="58"/>
      <c r="F327" s="58"/>
      <c r="G327" s="58"/>
      <c r="H327" s="58"/>
      <c r="I327" s="58"/>
      <c r="J327" s="58"/>
      <c r="K327" s="59">
        <f>ROUND(1,2)</f>
        <v>1</v>
      </c>
      <c r="L327" s="60">
        <f>ROUND(241*(1+M2/100),2)</f>
        <v>248.23</v>
      </c>
      <c r="M327" s="60">
        <f>ROUND(K327*L327,2)</f>
        <v>248.23</v>
      </c>
    </row>
    <row r="328" spans="1:13">
      <c r="A328" s="39"/>
      <c r="B328" s="39"/>
      <c r="C328" s="39"/>
      <c r="D328" s="36" t="s">
        <v>639</v>
      </c>
      <c r="E328" s="36"/>
      <c r="F328" s="36"/>
      <c r="G328" s="36"/>
      <c r="H328" s="36"/>
      <c r="I328" s="36"/>
      <c r="J328" s="36"/>
      <c r="K328" s="36"/>
      <c r="L328" s="36"/>
      <c r="M328" s="36"/>
    </row>
    <row r="329" spans="1:13">
      <c r="A329" s="34" t="s">
        <v>661</v>
      </c>
      <c r="B329" s="35" t="s">
        <v>431</v>
      </c>
      <c r="C329" s="35" t="s">
        <v>534</v>
      </c>
      <c r="D329" s="36" t="s">
        <v>535</v>
      </c>
      <c r="E329" s="36"/>
      <c r="F329" s="36"/>
      <c r="G329" s="36"/>
      <c r="H329" s="36"/>
      <c r="I329" s="36"/>
      <c r="J329" s="36"/>
      <c r="K329" s="37">
        <f>SUM(K332:K332)</f>
        <v>160</v>
      </c>
      <c r="L329" s="38">
        <f>L340</f>
        <v>6.65</v>
      </c>
      <c r="M329" s="38">
        <f>ROUND(K329*L329,2)</f>
        <v>1064</v>
      </c>
    </row>
    <row r="330" spans="1:13" ht="112.5">
      <c r="A330" s="39"/>
      <c r="B330" s="39"/>
      <c r="C330" s="39"/>
      <c r="D330" s="36" t="s">
        <v>536</v>
      </c>
      <c r="E330" s="36"/>
      <c r="F330" s="36"/>
      <c r="G330" s="36"/>
      <c r="H330" s="36"/>
      <c r="I330" s="36"/>
      <c r="J330" s="36"/>
      <c r="K330" s="36"/>
      <c r="L330" s="36"/>
      <c r="M330" s="36"/>
    </row>
    <row r="331" spans="1:13">
      <c r="A331" s="39"/>
      <c r="B331" s="39"/>
      <c r="C331" s="39"/>
      <c r="D331" s="39"/>
      <c r="E331" s="40"/>
      <c r="F331" s="41" t="s">
        <v>434</v>
      </c>
      <c r="G331" s="41" t="s">
        <v>435</v>
      </c>
      <c r="H331" s="41" t="s">
        <v>436</v>
      </c>
      <c r="I331" s="41" t="s">
        <v>437</v>
      </c>
      <c r="J331" s="41" t="s">
        <v>438</v>
      </c>
      <c r="K331" s="41" t="s">
        <v>439</v>
      </c>
      <c r="L331" s="39"/>
      <c r="M331" s="39"/>
    </row>
    <row r="332" spans="1:13">
      <c r="A332" s="39"/>
      <c r="B332" s="39"/>
      <c r="C332" s="39"/>
      <c r="D332" s="42"/>
      <c r="E332" s="43"/>
      <c r="F332" s="44">
        <v>160</v>
      </c>
      <c r="G332" s="45"/>
      <c r="H332" s="45"/>
      <c r="I332" s="45"/>
      <c r="J332" s="46">
        <f>ROUND(F332,3)</f>
        <v>160</v>
      </c>
      <c r="K332" s="47">
        <f>SUM(J332:J332)</f>
        <v>160</v>
      </c>
      <c r="L332" s="39"/>
      <c r="M332" s="39"/>
    </row>
    <row r="333" spans="1:13">
      <c r="A333" s="35" t="s">
        <v>537</v>
      </c>
      <c r="B333" s="35" t="s">
        <v>451</v>
      </c>
      <c r="C333" s="35" t="s">
        <v>538</v>
      </c>
      <c r="D333" s="36" t="s">
        <v>539</v>
      </c>
      <c r="E333" s="36"/>
      <c r="F333" s="36"/>
      <c r="G333" s="36"/>
      <c r="H333" s="36"/>
      <c r="I333" s="36"/>
      <c r="J333" s="36"/>
      <c r="K333" s="37">
        <v>1.4999999999999999E-2</v>
      </c>
      <c r="L333" s="37">
        <f>ROUND(78.89,3)</f>
        <v>78.89</v>
      </c>
      <c r="M333" s="38">
        <f t="shared" ref="M333:M338" si="12">ROUND(K333*L333,2)</f>
        <v>1.18</v>
      </c>
    </row>
    <row r="334" spans="1:13">
      <c r="A334" s="35" t="s">
        <v>540</v>
      </c>
      <c r="B334" s="35" t="s">
        <v>451</v>
      </c>
      <c r="C334" s="35" t="s">
        <v>538</v>
      </c>
      <c r="D334" s="36" t="s">
        <v>541</v>
      </c>
      <c r="E334" s="36"/>
      <c r="F334" s="36"/>
      <c r="G334" s="36"/>
      <c r="H334" s="36"/>
      <c r="I334" s="36"/>
      <c r="J334" s="36"/>
      <c r="K334" s="37">
        <v>6.0000000000000001E-3</v>
      </c>
      <c r="L334" s="37">
        <f>ROUND(1.5,3)</f>
        <v>1.5</v>
      </c>
      <c r="M334" s="38">
        <f t="shared" si="12"/>
        <v>0.01</v>
      </c>
    </row>
    <row r="335" spans="1:13" ht="22.5">
      <c r="A335" s="35" t="s">
        <v>542</v>
      </c>
      <c r="B335" s="35" t="s">
        <v>451</v>
      </c>
      <c r="C335" s="35" t="s">
        <v>543</v>
      </c>
      <c r="D335" s="36" t="s">
        <v>544</v>
      </c>
      <c r="E335" s="36"/>
      <c r="F335" s="36"/>
      <c r="G335" s="36"/>
      <c r="H335" s="36"/>
      <c r="I335" s="36"/>
      <c r="J335" s="36"/>
      <c r="K335" s="37">
        <v>1.9E-2</v>
      </c>
      <c r="L335" s="37">
        <f>ROUND(36.25,3)</f>
        <v>36.25</v>
      </c>
      <c r="M335" s="38">
        <f t="shared" si="12"/>
        <v>0.69</v>
      </c>
    </row>
    <row r="336" spans="1:13">
      <c r="A336" s="35" t="s">
        <v>545</v>
      </c>
      <c r="B336" s="35" t="s">
        <v>525</v>
      </c>
      <c r="C336" s="35" t="s">
        <v>456</v>
      </c>
      <c r="D336" s="36" t="s">
        <v>546</v>
      </c>
      <c r="E336" s="36"/>
      <c r="F336" s="36"/>
      <c r="G336" s="36"/>
      <c r="H336" s="36"/>
      <c r="I336" s="36"/>
      <c r="J336" s="36"/>
      <c r="K336" s="37">
        <v>5.0000000000000001E-3</v>
      </c>
      <c r="L336" s="37">
        <f>ROUND(25,3)</f>
        <v>25</v>
      </c>
      <c r="M336" s="38">
        <f t="shared" si="12"/>
        <v>0.13</v>
      </c>
    </row>
    <row r="337" spans="1:13">
      <c r="A337" s="35" t="s">
        <v>547</v>
      </c>
      <c r="B337" s="35" t="s">
        <v>455</v>
      </c>
      <c r="C337" s="35" t="s">
        <v>456</v>
      </c>
      <c r="D337" s="36" t="s">
        <v>548</v>
      </c>
      <c r="E337" s="36"/>
      <c r="F337" s="36"/>
      <c r="G337" s="36"/>
      <c r="H337" s="36"/>
      <c r="I337" s="36"/>
      <c r="J337" s="36"/>
      <c r="K337" s="37">
        <v>7.0000000000000007E-2</v>
      </c>
      <c r="L337" s="37">
        <f>ROUND(20.09,3)</f>
        <v>20.09</v>
      </c>
      <c r="M337" s="38">
        <f t="shared" si="12"/>
        <v>1.41</v>
      </c>
    </row>
    <row r="338" spans="1:13">
      <c r="A338" s="35" t="s">
        <v>549</v>
      </c>
      <c r="B338" s="35" t="s">
        <v>455</v>
      </c>
      <c r="C338" s="35" t="s">
        <v>456</v>
      </c>
      <c r="D338" s="36" t="s">
        <v>550</v>
      </c>
      <c r="E338" s="36"/>
      <c r="F338" s="36"/>
      <c r="G338" s="36"/>
      <c r="H338" s="36"/>
      <c r="I338" s="36"/>
      <c r="J338" s="36"/>
      <c r="K338" s="37">
        <v>0.17599999999999999</v>
      </c>
      <c r="L338" s="37">
        <f>ROUND(15.88,3)</f>
        <v>15.88</v>
      </c>
      <c r="M338" s="38">
        <f t="shared" si="12"/>
        <v>2.79</v>
      </c>
    </row>
    <row r="339" spans="1:13">
      <c r="A339" s="35" t="s">
        <v>460</v>
      </c>
      <c r="B339" s="35"/>
      <c r="C339" s="35" t="s">
        <v>460</v>
      </c>
      <c r="D339" s="36" t="s">
        <v>461</v>
      </c>
      <c r="E339" s="36"/>
      <c r="F339" s="36"/>
      <c r="G339" s="36"/>
      <c r="H339" s="36"/>
      <c r="I339" s="36"/>
      <c r="J339" s="36"/>
      <c r="K339" s="37">
        <v>4</v>
      </c>
      <c r="L339" s="37">
        <f>ROUND(6.21,3)</f>
        <v>6.21</v>
      </c>
      <c r="M339" s="38">
        <f>ROUND((K339*L339)/100,2)</f>
        <v>0.25</v>
      </c>
    </row>
    <row r="340" spans="1:13">
      <c r="A340" s="52"/>
      <c r="B340" s="52"/>
      <c r="C340" s="52"/>
      <c r="D340" s="53" t="s">
        <v>661</v>
      </c>
      <c r="E340" s="52"/>
      <c r="F340" s="52"/>
      <c r="G340" s="52"/>
      <c r="H340" s="52"/>
      <c r="I340" s="52"/>
      <c r="J340" s="52"/>
      <c r="K340" s="54">
        <v>160</v>
      </c>
      <c r="L340" s="55">
        <f>ROUND((M333+M334+M335+M336+M337+M338+M339)*(1+M2/100),2)</f>
        <v>6.65</v>
      </c>
      <c r="M340" s="55">
        <f>ROUND(K340*L340,2)</f>
        <v>1064</v>
      </c>
    </row>
    <row r="341" spans="1:13" ht="33.75">
      <c r="A341" s="56" t="s">
        <v>1047</v>
      </c>
      <c r="B341" s="57" t="s">
        <v>431</v>
      </c>
      <c r="C341" s="57" t="s">
        <v>56</v>
      </c>
      <c r="D341" s="58" t="s">
        <v>569</v>
      </c>
      <c r="E341" s="58"/>
      <c r="F341" s="58"/>
      <c r="G341" s="58"/>
      <c r="H341" s="58"/>
      <c r="I341" s="58"/>
      <c r="J341" s="58"/>
      <c r="K341" s="59">
        <f>SUM(K344:K344)</f>
        <v>54.6</v>
      </c>
      <c r="L341" s="60">
        <f>L352</f>
        <v>31.85</v>
      </c>
      <c r="M341" s="60">
        <f>ROUND(K341*L341,2)</f>
        <v>1739.01</v>
      </c>
    </row>
    <row r="342" spans="1:13" ht="112.5">
      <c r="A342" s="39"/>
      <c r="B342" s="39"/>
      <c r="C342" s="39"/>
      <c r="D342" s="36" t="s">
        <v>570</v>
      </c>
      <c r="E342" s="36"/>
      <c r="F342" s="36"/>
      <c r="G342" s="36"/>
      <c r="H342" s="36"/>
      <c r="I342" s="36"/>
      <c r="J342" s="36"/>
      <c r="K342" s="36"/>
      <c r="L342" s="36"/>
      <c r="M342" s="36"/>
    </row>
    <row r="343" spans="1:13">
      <c r="A343" s="39"/>
      <c r="B343" s="39"/>
      <c r="C343" s="39"/>
      <c r="D343" s="39"/>
      <c r="E343" s="40"/>
      <c r="F343" s="41" t="s">
        <v>434</v>
      </c>
      <c r="G343" s="41" t="s">
        <v>435</v>
      </c>
      <c r="H343" s="41" t="s">
        <v>436</v>
      </c>
      <c r="I343" s="41" t="s">
        <v>437</v>
      </c>
      <c r="J343" s="41" t="s">
        <v>438</v>
      </c>
      <c r="K343" s="41" t="s">
        <v>439</v>
      </c>
      <c r="L343" s="39"/>
      <c r="M343" s="39"/>
    </row>
    <row r="344" spans="1:13">
      <c r="A344" s="39"/>
      <c r="B344" s="39"/>
      <c r="C344" s="39"/>
      <c r="D344" s="42"/>
      <c r="E344" s="43"/>
      <c r="F344" s="44">
        <v>2</v>
      </c>
      <c r="G344" s="45">
        <v>26</v>
      </c>
      <c r="H344" s="45">
        <v>1.05</v>
      </c>
      <c r="I344" s="45"/>
      <c r="J344" s="46">
        <f>ROUND(F344*G344*H344,3)</f>
        <v>54.6</v>
      </c>
      <c r="K344" s="47">
        <f>SUM(J344:J344)</f>
        <v>54.6</v>
      </c>
      <c r="L344" s="39"/>
      <c r="M344" s="39"/>
    </row>
    <row r="345" spans="1:13" ht="22.5">
      <c r="A345" s="35" t="s">
        <v>572</v>
      </c>
      <c r="B345" s="35" t="s">
        <v>451</v>
      </c>
      <c r="C345" s="35" t="s">
        <v>422</v>
      </c>
      <c r="D345" s="36" t="s">
        <v>573</v>
      </c>
      <c r="E345" s="36"/>
      <c r="F345" s="36"/>
      <c r="G345" s="36"/>
      <c r="H345" s="36"/>
      <c r="I345" s="36"/>
      <c r="J345" s="36"/>
      <c r="K345" s="37">
        <v>1</v>
      </c>
      <c r="L345" s="37">
        <f>ROUND(0.48,3)</f>
        <v>0.48</v>
      </c>
      <c r="M345" s="38">
        <f t="shared" ref="M345:M350" si="13">ROUND(K345*L345,2)</f>
        <v>0.48</v>
      </c>
    </row>
    <row r="346" spans="1:13" ht="33.75">
      <c r="A346" s="35" t="s">
        <v>574</v>
      </c>
      <c r="B346" s="35" t="s">
        <v>451</v>
      </c>
      <c r="C346" s="35" t="s">
        <v>56</v>
      </c>
      <c r="D346" s="36" t="s">
        <v>575</v>
      </c>
      <c r="E346" s="36"/>
      <c r="F346" s="36"/>
      <c r="G346" s="36"/>
      <c r="H346" s="36"/>
      <c r="I346" s="36"/>
      <c r="J346" s="36"/>
      <c r="K346" s="37">
        <v>1</v>
      </c>
      <c r="L346" s="37">
        <f>ROUND(11.58,3)</f>
        <v>11.58</v>
      </c>
      <c r="M346" s="38">
        <f t="shared" si="13"/>
        <v>11.58</v>
      </c>
    </row>
    <row r="347" spans="1:13" ht="22.5">
      <c r="A347" s="35" t="s">
        <v>576</v>
      </c>
      <c r="B347" s="35" t="s">
        <v>451</v>
      </c>
      <c r="C347" s="35" t="s">
        <v>56</v>
      </c>
      <c r="D347" s="36" t="s">
        <v>577</v>
      </c>
      <c r="E347" s="36"/>
      <c r="F347" s="36"/>
      <c r="G347" s="36"/>
      <c r="H347" s="36"/>
      <c r="I347" s="36"/>
      <c r="J347" s="36"/>
      <c r="K347" s="37">
        <v>1</v>
      </c>
      <c r="L347" s="37">
        <f>ROUND(13.13,3)</f>
        <v>13.13</v>
      </c>
      <c r="M347" s="38">
        <f t="shared" si="13"/>
        <v>13.13</v>
      </c>
    </row>
    <row r="348" spans="1:13">
      <c r="A348" s="35" t="s">
        <v>515</v>
      </c>
      <c r="B348" s="35" t="s">
        <v>451</v>
      </c>
      <c r="C348" s="35" t="s">
        <v>516</v>
      </c>
      <c r="D348" s="36" t="s">
        <v>517</v>
      </c>
      <c r="E348" s="36"/>
      <c r="F348" s="36"/>
      <c r="G348" s="36"/>
      <c r="H348" s="36"/>
      <c r="I348" s="36"/>
      <c r="J348" s="36"/>
      <c r="K348" s="37">
        <v>6.7000000000000004E-2</v>
      </c>
      <c r="L348" s="37">
        <f>ROUND(9.601,3)</f>
        <v>9.6010000000000009</v>
      </c>
      <c r="M348" s="38">
        <f t="shared" si="13"/>
        <v>0.64</v>
      </c>
    </row>
    <row r="349" spans="1:13">
      <c r="A349" s="35" t="s">
        <v>454</v>
      </c>
      <c r="B349" s="35" t="s">
        <v>455</v>
      </c>
      <c r="C349" s="35" t="s">
        <v>456</v>
      </c>
      <c r="D349" s="36" t="s">
        <v>457</v>
      </c>
      <c r="E349" s="36"/>
      <c r="F349" s="36"/>
      <c r="G349" s="36"/>
      <c r="H349" s="36"/>
      <c r="I349" s="36"/>
      <c r="J349" s="36"/>
      <c r="K349" s="37">
        <v>0.13200000000000001</v>
      </c>
      <c r="L349" s="37">
        <f>ROUND(17.82,3)</f>
        <v>17.82</v>
      </c>
      <c r="M349" s="38">
        <f t="shared" si="13"/>
        <v>2.35</v>
      </c>
    </row>
    <row r="350" spans="1:13">
      <c r="A350" s="35" t="s">
        <v>458</v>
      </c>
      <c r="B350" s="35" t="s">
        <v>455</v>
      </c>
      <c r="C350" s="35" t="s">
        <v>456</v>
      </c>
      <c r="D350" s="36" t="s">
        <v>459</v>
      </c>
      <c r="E350" s="36"/>
      <c r="F350" s="36"/>
      <c r="G350" s="36"/>
      <c r="H350" s="36"/>
      <c r="I350" s="36"/>
      <c r="J350" s="36"/>
      <c r="K350" s="37">
        <v>0.13200000000000001</v>
      </c>
      <c r="L350" s="37">
        <f>ROUND(16.1,3)</f>
        <v>16.100000000000001</v>
      </c>
      <c r="M350" s="38">
        <f t="shared" si="13"/>
        <v>2.13</v>
      </c>
    </row>
    <row r="351" spans="1:13">
      <c r="A351" s="35" t="s">
        <v>460</v>
      </c>
      <c r="B351" s="35"/>
      <c r="C351" s="35" t="s">
        <v>460</v>
      </c>
      <c r="D351" s="36" t="s">
        <v>461</v>
      </c>
      <c r="E351" s="36"/>
      <c r="F351" s="36"/>
      <c r="G351" s="36"/>
      <c r="H351" s="36"/>
      <c r="I351" s="36"/>
      <c r="J351" s="36"/>
      <c r="K351" s="37">
        <v>2</v>
      </c>
      <c r="L351" s="37">
        <f>ROUND(30.31,3)</f>
        <v>30.31</v>
      </c>
      <c r="M351" s="38">
        <f>ROUND((K351*L351)/100,2)</f>
        <v>0.61</v>
      </c>
    </row>
    <row r="352" spans="1:13">
      <c r="A352" s="52"/>
      <c r="B352" s="52"/>
      <c r="C352" s="52"/>
      <c r="D352" s="53" t="s">
        <v>1047</v>
      </c>
      <c r="E352" s="52"/>
      <c r="F352" s="52"/>
      <c r="G352" s="52"/>
      <c r="H352" s="52"/>
      <c r="I352" s="52"/>
      <c r="J352" s="52"/>
      <c r="K352" s="54">
        <v>54.6</v>
      </c>
      <c r="L352" s="55">
        <f>ROUND((M345+M346+M347+M348+M349+M350+M351)*(1+M2/100),2)</f>
        <v>31.85</v>
      </c>
      <c r="M352" s="55">
        <f>ROUND(K352*L352,2)</f>
        <v>1739.01</v>
      </c>
    </row>
    <row r="353" spans="1:13">
      <c r="A353" s="56" t="s">
        <v>644</v>
      </c>
      <c r="B353" s="57" t="s">
        <v>431</v>
      </c>
      <c r="C353" s="57" t="s">
        <v>422</v>
      </c>
      <c r="D353" s="58" t="s">
        <v>579</v>
      </c>
      <c r="E353" s="58"/>
      <c r="F353" s="58"/>
      <c r="G353" s="58"/>
      <c r="H353" s="58"/>
      <c r="I353" s="58"/>
      <c r="J353" s="58"/>
      <c r="K353" s="59">
        <f>SUM(K356:K356)</f>
        <v>8</v>
      </c>
      <c r="L353" s="60">
        <f>L362</f>
        <v>26.8</v>
      </c>
      <c r="M353" s="60">
        <f>ROUND(K353*L353,2)</f>
        <v>214.4</v>
      </c>
    </row>
    <row r="354" spans="1:13" ht="56.25">
      <c r="A354" s="39"/>
      <c r="B354" s="39"/>
      <c r="C354" s="39"/>
      <c r="D354" s="36" t="s">
        <v>580</v>
      </c>
      <c r="E354" s="36"/>
      <c r="F354" s="36"/>
      <c r="G354" s="36"/>
      <c r="H354" s="36"/>
      <c r="I354" s="36"/>
      <c r="J354" s="36"/>
      <c r="K354" s="36"/>
      <c r="L354" s="36"/>
      <c r="M354" s="36"/>
    </row>
    <row r="355" spans="1:13">
      <c r="A355" s="39"/>
      <c r="B355" s="39"/>
      <c r="C355" s="39"/>
      <c r="D355" s="39"/>
      <c r="E355" s="40"/>
      <c r="F355" s="41" t="s">
        <v>434</v>
      </c>
      <c r="G355" s="41" t="s">
        <v>435</v>
      </c>
      <c r="H355" s="41" t="s">
        <v>436</v>
      </c>
      <c r="I355" s="41" t="s">
        <v>437</v>
      </c>
      <c r="J355" s="41" t="s">
        <v>438</v>
      </c>
      <c r="K355" s="41" t="s">
        <v>439</v>
      </c>
      <c r="L355" s="39"/>
      <c r="M355" s="39"/>
    </row>
    <row r="356" spans="1:13">
      <c r="A356" s="39"/>
      <c r="B356" s="39"/>
      <c r="C356" s="39"/>
      <c r="D356" s="42"/>
      <c r="E356" s="43" t="s">
        <v>1033</v>
      </c>
      <c r="F356" s="44">
        <v>4</v>
      </c>
      <c r="G356" s="45">
        <v>2</v>
      </c>
      <c r="H356" s="45"/>
      <c r="I356" s="45"/>
      <c r="J356" s="46">
        <f>ROUND(F356*G356,3)</f>
        <v>8</v>
      </c>
      <c r="K356" s="47">
        <f>SUM(J356:J356)</f>
        <v>8</v>
      </c>
      <c r="L356" s="39"/>
      <c r="M356" s="39"/>
    </row>
    <row r="357" spans="1:13">
      <c r="A357" s="35" t="s">
        <v>583</v>
      </c>
      <c r="B357" s="35" t="s">
        <v>451</v>
      </c>
      <c r="C357" s="35" t="s">
        <v>422</v>
      </c>
      <c r="D357" s="36" t="s">
        <v>579</v>
      </c>
      <c r="E357" s="36"/>
      <c r="F357" s="36"/>
      <c r="G357" s="36"/>
      <c r="H357" s="36"/>
      <c r="I357" s="36"/>
      <c r="J357" s="36"/>
      <c r="K357" s="37">
        <v>1</v>
      </c>
      <c r="L357" s="37">
        <f>ROUND(21.57,3)</f>
        <v>21.57</v>
      </c>
      <c r="M357" s="38">
        <f>ROUND(K357*L357,2)</f>
        <v>21.57</v>
      </c>
    </row>
    <row r="358" spans="1:13" ht="22.5">
      <c r="A358" s="35" t="s">
        <v>452</v>
      </c>
      <c r="B358" s="35" t="s">
        <v>451</v>
      </c>
      <c r="C358" s="35" t="s">
        <v>422</v>
      </c>
      <c r="D358" s="36" t="s">
        <v>453</v>
      </c>
      <c r="E358" s="36"/>
      <c r="F358" s="36"/>
      <c r="G358" s="36"/>
      <c r="H358" s="36"/>
      <c r="I358" s="36"/>
      <c r="J358" s="36"/>
      <c r="K358" s="37">
        <v>0.1</v>
      </c>
      <c r="L358" s="37">
        <f>ROUND(2.1,3)</f>
        <v>2.1</v>
      </c>
      <c r="M358" s="38">
        <f>ROUND(K358*L358,2)</f>
        <v>0.21</v>
      </c>
    </row>
    <row r="359" spans="1:13">
      <c r="A359" s="35" t="s">
        <v>454</v>
      </c>
      <c r="B359" s="35" t="s">
        <v>455</v>
      </c>
      <c r="C359" s="35" t="s">
        <v>456</v>
      </c>
      <c r="D359" s="36" t="s">
        <v>457</v>
      </c>
      <c r="E359" s="36"/>
      <c r="F359" s="36"/>
      <c r="G359" s="36"/>
      <c r="H359" s="36"/>
      <c r="I359" s="36"/>
      <c r="J359" s="36"/>
      <c r="K359" s="37">
        <v>0.11</v>
      </c>
      <c r="L359" s="37">
        <f>ROUND(17.82,3)</f>
        <v>17.82</v>
      </c>
      <c r="M359" s="38">
        <f>ROUND(K359*L359,2)</f>
        <v>1.96</v>
      </c>
    </row>
    <row r="360" spans="1:13">
      <c r="A360" s="35" t="s">
        <v>458</v>
      </c>
      <c r="B360" s="35" t="s">
        <v>455</v>
      </c>
      <c r="C360" s="35" t="s">
        <v>456</v>
      </c>
      <c r="D360" s="36" t="s">
        <v>459</v>
      </c>
      <c r="E360" s="36"/>
      <c r="F360" s="36"/>
      <c r="G360" s="36"/>
      <c r="H360" s="36"/>
      <c r="I360" s="36"/>
      <c r="J360" s="36"/>
      <c r="K360" s="37">
        <v>0.11</v>
      </c>
      <c r="L360" s="37">
        <f>ROUND(16.1,3)</f>
        <v>16.100000000000001</v>
      </c>
      <c r="M360" s="38">
        <f>ROUND(K360*L360,2)</f>
        <v>1.77</v>
      </c>
    </row>
    <row r="361" spans="1:13">
      <c r="A361" s="35" t="s">
        <v>460</v>
      </c>
      <c r="B361" s="35"/>
      <c r="C361" s="35" t="s">
        <v>460</v>
      </c>
      <c r="D361" s="36" t="s">
        <v>461</v>
      </c>
      <c r="E361" s="36"/>
      <c r="F361" s="36"/>
      <c r="G361" s="36"/>
      <c r="H361" s="36"/>
      <c r="I361" s="36"/>
      <c r="J361" s="36"/>
      <c r="K361" s="37">
        <v>2</v>
      </c>
      <c r="L361" s="37">
        <f>ROUND(25.51,3)</f>
        <v>25.51</v>
      </c>
      <c r="M361" s="38">
        <f>ROUND((K361*L361)/100,2)</f>
        <v>0.51</v>
      </c>
    </row>
    <row r="362" spans="1:13">
      <c r="A362" s="52"/>
      <c r="B362" s="52"/>
      <c r="C362" s="52"/>
      <c r="D362" s="53" t="s">
        <v>644</v>
      </c>
      <c r="E362" s="52"/>
      <c r="F362" s="52"/>
      <c r="G362" s="52"/>
      <c r="H362" s="52"/>
      <c r="I362" s="52"/>
      <c r="J362" s="52"/>
      <c r="K362" s="54">
        <v>8</v>
      </c>
      <c r="L362" s="55">
        <f>ROUND((M357+M358+M359+M360+M361)*(1+M2/100),2)</f>
        <v>26.8</v>
      </c>
      <c r="M362" s="55">
        <f>ROUND(K362*L362,2)</f>
        <v>214.4</v>
      </c>
    </row>
    <row r="363" spans="1:13" ht="33.75">
      <c r="A363" s="56" t="s">
        <v>1048</v>
      </c>
      <c r="B363" s="57" t="s">
        <v>431</v>
      </c>
      <c r="C363" s="57" t="s">
        <v>56</v>
      </c>
      <c r="D363" s="58" t="s">
        <v>1036</v>
      </c>
      <c r="E363" s="58"/>
      <c r="F363" s="58"/>
      <c r="G363" s="58"/>
      <c r="H363" s="58"/>
      <c r="I363" s="58"/>
      <c r="J363" s="58"/>
      <c r="K363" s="59">
        <f>ROUND(48.3,2)</f>
        <v>48.3</v>
      </c>
      <c r="L363" s="60">
        <f>L370</f>
        <v>39.270000000000003</v>
      </c>
      <c r="M363" s="60">
        <f>ROUND(K363*L363,2)</f>
        <v>1896.74</v>
      </c>
    </row>
    <row r="364" spans="1:13" ht="67.5">
      <c r="A364" s="39"/>
      <c r="B364" s="39"/>
      <c r="C364" s="39"/>
      <c r="D364" s="36" t="s">
        <v>1037</v>
      </c>
      <c r="E364" s="36"/>
      <c r="F364" s="36"/>
      <c r="G364" s="36"/>
      <c r="H364" s="36"/>
      <c r="I364" s="36"/>
      <c r="J364" s="36"/>
      <c r="K364" s="36"/>
      <c r="L364" s="36"/>
      <c r="M364" s="36"/>
    </row>
    <row r="365" spans="1:13" ht="22.5">
      <c r="A365" s="35" t="s">
        <v>1038</v>
      </c>
      <c r="B365" s="35" t="s">
        <v>451</v>
      </c>
      <c r="C365" s="35" t="s">
        <v>56</v>
      </c>
      <c r="D365" s="36" t="s">
        <v>1039</v>
      </c>
      <c r="E365" s="36"/>
      <c r="F365" s="36"/>
      <c r="G365" s="36"/>
      <c r="H365" s="36"/>
      <c r="I365" s="36"/>
      <c r="J365" s="36"/>
      <c r="K365" s="37">
        <v>1.05</v>
      </c>
      <c r="L365" s="37">
        <f>ROUND(30.88,3)</f>
        <v>30.88</v>
      </c>
      <c r="M365" s="38">
        <f>ROUND(K365*L365,2)</f>
        <v>32.42</v>
      </c>
    </row>
    <row r="366" spans="1:13">
      <c r="A366" s="35" t="s">
        <v>515</v>
      </c>
      <c r="B366" s="35" t="s">
        <v>451</v>
      </c>
      <c r="C366" s="35" t="s">
        <v>516</v>
      </c>
      <c r="D366" s="36" t="s">
        <v>517</v>
      </c>
      <c r="E366" s="36"/>
      <c r="F366" s="36"/>
      <c r="G366" s="36"/>
      <c r="H366" s="36"/>
      <c r="I366" s="36"/>
      <c r="J366" s="36"/>
      <c r="K366" s="37">
        <v>4.2000000000000003E-2</v>
      </c>
      <c r="L366" s="37">
        <f>ROUND(9.601,3)</f>
        <v>9.6010000000000009</v>
      </c>
      <c r="M366" s="38">
        <f>ROUND(K366*L366,2)</f>
        <v>0.4</v>
      </c>
    </row>
    <row r="367" spans="1:13">
      <c r="A367" s="35" t="s">
        <v>603</v>
      </c>
      <c r="B367" s="35" t="s">
        <v>455</v>
      </c>
      <c r="C367" s="35" t="s">
        <v>456</v>
      </c>
      <c r="D367" s="36" t="s">
        <v>604</v>
      </c>
      <c r="E367" s="36"/>
      <c r="F367" s="36"/>
      <c r="G367" s="36"/>
      <c r="H367" s="36"/>
      <c r="I367" s="36"/>
      <c r="J367" s="36"/>
      <c r="K367" s="37">
        <v>0.121</v>
      </c>
      <c r="L367" s="37">
        <f>ROUND(20.33,3)</f>
        <v>20.329999999999998</v>
      </c>
      <c r="M367" s="38">
        <f>ROUND(K367*L367,2)</f>
        <v>2.46</v>
      </c>
    </row>
    <row r="368" spans="1:13">
      <c r="A368" s="35" t="s">
        <v>605</v>
      </c>
      <c r="B368" s="35" t="s">
        <v>455</v>
      </c>
      <c r="C368" s="35" t="s">
        <v>456</v>
      </c>
      <c r="D368" s="36" t="s">
        <v>606</v>
      </c>
      <c r="E368" s="36"/>
      <c r="F368" s="36"/>
      <c r="G368" s="36"/>
      <c r="H368" s="36"/>
      <c r="I368" s="36"/>
      <c r="J368" s="36"/>
      <c r="K368" s="37">
        <v>0.121</v>
      </c>
      <c r="L368" s="37">
        <f>ROUND(17.34,3)</f>
        <v>17.34</v>
      </c>
      <c r="M368" s="38">
        <f>ROUND(K368*L368,2)</f>
        <v>2.1</v>
      </c>
    </row>
    <row r="369" spans="1:13">
      <c r="A369" s="35" t="s">
        <v>460</v>
      </c>
      <c r="B369" s="35"/>
      <c r="C369" s="35" t="s">
        <v>460</v>
      </c>
      <c r="D369" s="36" t="s">
        <v>461</v>
      </c>
      <c r="E369" s="36"/>
      <c r="F369" s="36"/>
      <c r="G369" s="36"/>
      <c r="H369" s="36"/>
      <c r="I369" s="36"/>
      <c r="J369" s="36"/>
      <c r="K369" s="37">
        <v>2</v>
      </c>
      <c r="L369" s="37">
        <f>ROUND(37.38,3)</f>
        <v>37.380000000000003</v>
      </c>
      <c r="M369" s="38">
        <f>ROUND((K369*L369)/100,2)</f>
        <v>0.75</v>
      </c>
    </row>
    <row r="370" spans="1:13">
      <c r="A370" s="52"/>
      <c r="B370" s="52"/>
      <c r="C370" s="52"/>
      <c r="D370" s="53" t="s">
        <v>1048</v>
      </c>
      <c r="E370" s="52"/>
      <c r="F370" s="52"/>
      <c r="G370" s="52"/>
      <c r="H370" s="52"/>
      <c r="I370" s="52"/>
      <c r="J370" s="52"/>
      <c r="K370" s="54">
        <v>48.3</v>
      </c>
      <c r="L370" s="55">
        <f>ROUND((M365+M366+M367+M368+M369)*(1+M2/100),2)</f>
        <v>39.270000000000003</v>
      </c>
      <c r="M370" s="55">
        <f>ROUND(K370*L370,2)</f>
        <v>1896.74</v>
      </c>
    </row>
    <row r="371" spans="1:13" ht="33.75">
      <c r="A371" s="56" t="s">
        <v>1049</v>
      </c>
      <c r="B371" s="57" t="s">
        <v>431</v>
      </c>
      <c r="C371" s="57" t="s">
        <v>56</v>
      </c>
      <c r="D371" s="58" t="s">
        <v>1041</v>
      </c>
      <c r="E371" s="58"/>
      <c r="F371" s="58"/>
      <c r="G371" s="58"/>
      <c r="H371" s="58"/>
      <c r="I371" s="58"/>
      <c r="J371" s="58"/>
      <c r="K371" s="59">
        <f>ROUND(54.6,2)</f>
        <v>54.6</v>
      </c>
      <c r="L371" s="60">
        <f>L378</f>
        <v>41.97</v>
      </c>
      <c r="M371" s="60">
        <f>ROUND(K371*L371,2)</f>
        <v>2291.56</v>
      </c>
    </row>
    <row r="372" spans="1:13" ht="67.5">
      <c r="A372" s="39"/>
      <c r="B372" s="39"/>
      <c r="C372" s="39"/>
      <c r="D372" s="36" t="s">
        <v>1042</v>
      </c>
      <c r="E372" s="36"/>
      <c r="F372" s="36"/>
      <c r="G372" s="36"/>
      <c r="H372" s="36"/>
      <c r="I372" s="36"/>
      <c r="J372" s="36"/>
      <c r="K372" s="36"/>
      <c r="L372" s="36"/>
      <c r="M372" s="36"/>
    </row>
    <row r="373" spans="1:13" ht="22.5">
      <c r="A373" s="35" t="s">
        <v>601</v>
      </c>
      <c r="B373" s="35" t="s">
        <v>451</v>
      </c>
      <c r="C373" s="35" t="s">
        <v>56</v>
      </c>
      <c r="D373" s="36" t="s">
        <v>602</v>
      </c>
      <c r="E373" s="36"/>
      <c r="F373" s="36"/>
      <c r="G373" s="36"/>
      <c r="H373" s="36"/>
      <c r="I373" s="36"/>
      <c r="J373" s="36"/>
      <c r="K373" s="37">
        <v>1.05</v>
      </c>
      <c r="L373" s="37">
        <f>ROUND(33.08,3)</f>
        <v>33.08</v>
      </c>
      <c r="M373" s="38">
        <f>ROUND(K373*L373,2)</f>
        <v>34.729999999999997</v>
      </c>
    </row>
    <row r="374" spans="1:13">
      <c r="A374" s="35" t="s">
        <v>515</v>
      </c>
      <c r="B374" s="35" t="s">
        <v>451</v>
      </c>
      <c r="C374" s="35" t="s">
        <v>516</v>
      </c>
      <c r="D374" s="36" t="s">
        <v>517</v>
      </c>
      <c r="E374" s="36"/>
      <c r="F374" s="36"/>
      <c r="G374" s="36"/>
      <c r="H374" s="36"/>
      <c r="I374" s="36"/>
      <c r="J374" s="36"/>
      <c r="K374" s="37">
        <v>0.05</v>
      </c>
      <c r="L374" s="37">
        <f>ROUND(9.601,3)</f>
        <v>9.6010000000000009</v>
      </c>
      <c r="M374" s="38">
        <f>ROUND(K374*L374,2)</f>
        <v>0.48</v>
      </c>
    </row>
    <row r="375" spans="1:13">
      <c r="A375" s="35" t="s">
        <v>603</v>
      </c>
      <c r="B375" s="35" t="s">
        <v>455</v>
      </c>
      <c r="C375" s="35" t="s">
        <v>456</v>
      </c>
      <c r="D375" s="36" t="s">
        <v>604</v>
      </c>
      <c r="E375" s="36"/>
      <c r="F375" s="36"/>
      <c r="G375" s="36"/>
      <c r="H375" s="36"/>
      <c r="I375" s="36"/>
      <c r="J375" s="36"/>
      <c r="K375" s="37">
        <v>0.126</v>
      </c>
      <c r="L375" s="37">
        <f>ROUND(20.33,3)</f>
        <v>20.329999999999998</v>
      </c>
      <c r="M375" s="38">
        <f>ROUND(K375*L375,2)</f>
        <v>2.56</v>
      </c>
    </row>
    <row r="376" spans="1:13">
      <c r="A376" s="35" t="s">
        <v>605</v>
      </c>
      <c r="B376" s="35" t="s">
        <v>455</v>
      </c>
      <c r="C376" s="35" t="s">
        <v>456</v>
      </c>
      <c r="D376" s="36" t="s">
        <v>606</v>
      </c>
      <c r="E376" s="36"/>
      <c r="F376" s="36"/>
      <c r="G376" s="36"/>
      <c r="H376" s="36"/>
      <c r="I376" s="36"/>
      <c r="J376" s="36"/>
      <c r="K376" s="37">
        <v>0.126</v>
      </c>
      <c r="L376" s="37">
        <f>ROUND(17.34,3)</f>
        <v>17.34</v>
      </c>
      <c r="M376" s="38">
        <f>ROUND(K376*L376,2)</f>
        <v>2.1800000000000002</v>
      </c>
    </row>
    <row r="377" spans="1:13">
      <c r="A377" s="35" t="s">
        <v>460</v>
      </c>
      <c r="B377" s="35"/>
      <c r="C377" s="35" t="s">
        <v>460</v>
      </c>
      <c r="D377" s="36" t="s">
        <v>461</v>
      </c>
      <c r="E377" s="36"/>
      <c r="F377" s="36"/>
      <c r="G377" s="36"/>
      <c r="H377" s="36"/>
      <c r="I377" s="36"/>
      <c r="J377" s="36"/>
      <c r="K377" s="37">
        <v>2</v>
      </c>
      <c r="L377" s="37">
        <f>ROUND(39.95,3)</f>
        <v>39.950000000000003</v>
      </c>
      <c r="M377" s="38">
        <f>ROUND((K377*L377)/100,2)</f>
        <v>0.8</v>
      </c>
    </row>
    <row r="378" spans="1:13">
      <c r="A378" s="52"/>
      <c r="B378" s="52"/>
      <c r="C378" s="52"/>
      <c r="D378" s="53" t="s">
        <v>1049</v>
      </c>
      <c r="E378" s="52"/>
      <c r="F378" s="52"/>
      <c r="G378" s="52"/>
      <c r="H378" s="52"/>
      <c r="I378" s="52"/>
      <c r="J378" s="52"/>
      <c r="K378" s="54">
        <v>54.6</v>
      </c>
      <c r="L378" s="55">
        <f>ROUND((M373+M374+M375+M376+M377)*(1+M2/100),2)</f>
        <v>41.97</v>
      </c>
      <c r="M378" s="55">
        <f>ROUND(K378*L378,2)</f>
        <v>2291.56</v>
      </c>
    </row>
    <row r="379" spans="1:13">
      <c r="A379" s="79"/>
      <c r="B379" s="79"/>
      <c r="C379" s="79"/>
      <c r="D379" s="80" t="s">
        <v>640</v>
      </c>
      <c r="E379" s="81"/>
      <c r="F379" s="81"/>
      <c r="G379" s="81"/>
      <c r="H379" s="81"/>
      <c r="I379" s="81"/>
      <c r="J379" s="81"/>
      <c r="K379" s="81"/>
      <c r="L379" s="82">
        <f>M264+M276+M286+M297+M302+M312+M321+M327+M329+M341+M353+M363+M371</f>
        <v>22279.650000000005</v>
      </c>
      <c r="M379" s="82">
        <f>ROUND(L379,2)</f>
        <v>22279.65</v>
      </c>
    </row>
    <row r="380" spans="1:13">
      <c r="A380" s="75" t="s">
        <v>651</v>
      </c>
      <c r="B380" s="75" t="s">
        <v>428</v>
      </c>
      <c r="C380" s="76"/>
      <c r="D380" s="77" t="s">
        <v>1050</v>
      </c>
      <c r="E380" s="77"/>
      <c r="F380" s="77"/>
      <c r="G380" s="77"/>
      <c r="H380" s="77"/>
      <c r="I380" s="77"/>
      <c r="J380" s="77"/>
      <c r="K380" s="76"/>
      <c r="L380" s="78">
        <f>L496</f>
        <v>22279.650000000005</v>
      </c>
      <c r="M380" s="78">
        <f>ROUND(L380,2)</f>
        <v>22279.65</v>
      </c>
    </row>
    <row r="381" spans="1:13" ht="33.75">
      <c r="A381" s="34" t="s">
        <v>642</v>
      </c>
      <c r="B381" s="35" t="s">
        <v>431</v>
      </c>
      <c r="C381" s="35" t="s">
        <v>56</v>
      </c>
      <c r="D381" s="36" t="s">
        <v>559</v>
      </c>
      <c r="E381" s="36"/>
      <c r="F381" s="36"/>
      <c r="G381" s="36"/>
      <c r="H381" s="36"/>
      <c r="I381" s="36"/>
      <c r="J381" s="36"/>
      <c r="K381" s="37">
        <f>SUM(K384:K384)</f>
        <v>48.3</v>
      </c>
      <c r="L381" s="38">
        <f>L392</f>
        <v>20.71</v>
      </c>
      <c r="M381" s="38">
        <f>ROUND(K381*L381,2)</f>
        <v>1000.29</v>
      </c>
    </row>
    <row r="382" spans="1:13" ht="112.5">
      <c r="A382" s="39"/>
      <c r="B382" s="39"/>
      <c r="C382" s="39"/>
      <c r="D382" s="36" t="s">
        <v>560</v>
      </c>
      <c r="E382" s="36"/>
      <c r="F382" s="36"/>
      <c r="G382" s="36"/>
      <c r="H382" s="36"/>
      <c r="I382" s="36"/>
      <c r="J382" s="36"/>
      <c r="K382" s="36"/>
      <c r="L382" s="36"/>
      <c r="M382" s="36"/>
    </row>
    <row r="383" spans="1:13">
      <c r="A383" s="39"/>
      <c r="B383" s="39"/>
      <c r="C383" s="39"/>
      <c r="D383" s="39"/>
      <c r="E383" s="40"/>
      <c r="F383" s="41" t="s">
        <v>434</v>
      </c>
      <c r="G383" s="41" t="s">
        <v>435</v>
      </c>
      <c r="H383" s="41" t="s">
        <v>436</v>
      </c>
      <c r="I383" s="41" t="s">
        <v>437</v>
      </c>
      <c r="J383" s="41" t="s">
        <v>438</v>
      </c>
      <c r="K383" s="41" t="s">
        <v>439</v>
      </c>
      <c r="L383" s="39"/>
      <c r="M383" s="39"/>
    </row>
    <row r="384" spans="1:13">
      <c r="A384" s="39"/>
      <c r="B384" s="39"/>
      <c r="C384" s="39"/>
      <c r="D384" s="42"/>
      <c r="E384" s="43"/>
      <c r="F384" s="44">
        <v>2</v>
      </c>
      <c r="G384" s="45">
        <v>23</v>
      </c>
      <c r="H384" s="45">
        <v>1.05</v>
      </c>
      <c r="I384" s="45"/>
      <c r="J384" s="46">
        <f>ROUND(F384*G384*H384,3)</f>
        <v>48.3</v>
      </c>
      <c r="K384" s="47">
        <f>SUM(J384:J384)</f>
        <v>48.3</v>
      </c>
      <c r="L384" s="39"/>
      <c r="M384" s="39"/>
    </row>
    <row r="385" spans="1:13" ht="22.5">
      <c r="A385" s="35" t="s">
        <v>562</v>
      </c>
      <c r="B385" s="35" t="s">
        <v>451</v>
      </c>
      <c r="C385" s="35" t="s">
        <v>422</v>
      </c>
      <c r="D385" s="36" t="s">
        <v>563</v>
      </c>
      <c r="E385" s="36"/>
      <c r="F385" s="36"/>
      <c r="G385" s="36"/>
      <c r="H385" s="36"/>
      <c r="I385" s="36"/>
      <c r="J385" s="36"/>
      <c r="K385" s="37">
        <v>1</v>
      </c>
      <c r="L385" s="37">
        <f>ROUND(0.27,3)</f>
        <v>0.27</v>
      </c>
      <c r="M385" s="38">
        <f t="shared" ref="M385:M390" si="14">ROUND(K385*L385,2)</f>
        <v>0.27</v>
      </c>
    </row>
    <row r="386" spans="1:13" ht="33.75">
      <c r="A386" s="35" t="s">
        <v>564</v>
      </c>
      <c r="B386" s="35" t="s">
        <v>451</v>
      </c>
      <c r="C386" s="35" t="s">
        <v>56</v>
      </c>
      <c r="D386" s="36" t="s">
        <v>565</v>
      </c>
      <c r="E386" s="36"/>
      <c r="F386" s="36"/>
      <c r="G386" s="36"/>
      <c r="H386" s="36"/>
      <c r="I386" s="36"/>
      <c r="J386" s="36"/>
      <c r="K386" s="37">
        <v>1</v>
      </c>
      <c r="L386" s="37">
        <f>ROUND(6.6,3)</f>
        <v>6.6</v>
      </c>
      <c r="M386" s="38">
        <f t="shared" si="14"/>
        <v>6.6</v>
      </c>
    </row>
    <row r="387" spans="1:13" ht="22.5">
      <c r="A387" s="35" t="s">
        <v>566</v>
      </c>
      <c r="B387" s="35" t="s">
        <v>451</v>
      </c>
      <c r="C387" s="35" t="s">
        <v>56</v>
      </c>
      <c r="D387" s="36" t="s">
        <v>567</v>
      </c>
      <c r="E387" s="36"/>
      <c r="F387" s="36"/>
      <c r="G387" s="36"/>
      <c r="H387" s="36"/>
      <c r="I387" s="36"/>
      <c r="J387" s="36"/>
      <c r="K387" s="37">
        <v>1</v>
      </c>
      <c r="L387" s="37">
        <f>ROUND(7.84,3)</f>
        <v>7.84</v>
      </c>
      <c r="M387" s="38">
        <f t="shared" si="14"/>
        <v>7.84</v>
      </c>
    </row>
    <row r="388" spans="1:13">
      <c r="A388" s="35" t="s">
        <v>515</v>
      </c>
      <c r="B388" s="35" t="s">
        <v>451</v>
      </c>
      <c r="C388" s="35" t="s">
        <v>516</v>
      </c>
      <c r="D388" s="36" t="s">
        <v>517</v>
      </c>
      <c r="E388" s="36"/>
      <c r="F388" s="36"/>
      <c r="G388" s="36"/>
      <c r="H388" s="36"/>
      <c r="I388" s="36"/>
      <c r="J388" s="36"/>
      <c r="K388" s="37">
        <v>5.5E-2</v>
      </c>
      <c r="L388" s="37">
        <f>ROUND(9.601,3)</f>
        <v>9.6010000000000009</v>
      </c>
      <c r="M388" s="38">
        <f t="shared" si="14"/>
        <v>0.53</v>
      </c>
    </row>
    <row r="389" spans="1:13">
      <c r="A389" s="35" t="s">
        <v>454</v>
      </c>
      <c r="B389" s="35" t="s">
        <v>455</v>
      </c>
      <c r="C389" s="35" t="s">
        <v>456</v>
      </c>
      <c r="D389" s="36" t="s">
        <v>457</v>
      </c>
      <c r="E389" s="36"/>
      <c r="F389" s="36"/>
      <c r="G389" s="36"/>
      <c r="H389" s="36"/>
      <c r="I389" s="36"/>
      <c r="J389" s="36"/>
      <c r="K389" s="37">
        <v>0.13200000000000001</v>
      </c>
      <c r="L389" s="37">
        <f>ROUND(17.82,3)</f>
        <v>17.82</v>
      </c>
      <c r="M389" s="38">
        <f t="shared" si="14"/>
        <v>2.35</v>
      </c>
    </row>
    <row r="390" spans="1:13">
      <c r="A390" s="35" t="s">
        <v>458</v>
      </c>
      <c r="B390" s="35" t="s">
        <v>455</v>
      </c>
      <c r="C390" s="35" t="s">
        <v>456</v>
      </c>
      <c r="D390" s="36" t="s">
        <v>459</v>
      </c>
      <c r="E390" s="36"/>
      <c r="F390" s="36"/>
      <c r="G390" s="36"/>
      <c r="H390" s="36"/>
      <c r="I390" s="36"/>
      <c r="J390" s="36"/>
      <c r="K390" s="37">
        <v>0.13200000000000001</v>
      </c>
      <c r="L390" s="37">
        <f>ROUND(16.1,3)</f>
        <v>16.100000000000001</v>
      </c>
      <c r="M390" s="38">
        <f t="shared" si="14"/>
        <v>2.13</v>
      </c>
    </row>
    <row r="391" spans="1:13">
      <c r="A391" s="35" t="s">
        <v>460</v>
      </c>
      <c r="B391" s="35"/>
      <c r="C391" s="35" t="s">
        <v>460</v>
      </c>
      <c r="D391" s="36" t="s">
        <v>461</v>
      </c>
      <c r="E391" s="36"/>
      <c r="F391" s="36"/>
      <c r="G391" s="36"/>
      <c r="H391" s="36"/>
      <c r="I391" s="36"/>
      <c r="J391" s="36"/>
      <c r="K391" s="37">
        <v>2</v>
      </c>
      <c r="L391" s="37">
        <f>ROUND(19.72,3)</f>
        <v>19.72</v>
      </c>
      <c r="M391" s="38">
        <f>ROUND((K391*L391)/100,2)</f>
        <v>0.39</v>
      </c>
    </row>
    <row r="392" spans="1:13">
      <c r="A392" s="52"/>
      <c r="B392" s="52"/>
      <c r="C392" s="52"/>
      <c r="D392" s="53" t="s">
        <v>642</v>
      </c>
      <c r="E392" s="52"/>
      <c r="F392" s="52"/>
      <c r="G392" s="52"/>
      <c r="H392" s="52"/>
      <c r="I392" s="52"/>
      <c r="J392" s="52"/>
      <c r="K392" s="54">
        <v>48.3</v>
      </c>
      <c r="L392" s="55">
        <f>ROUND((M385+M386+M387+M388+M389+M390+M391)*(1+M2/100),2)</f>
        <v>20.71</v>
      </c>
      <c r="M392" s="55">
        <f>ROUND(K392*L392,2)</f>
        <v>1000.29</v>
      </c>
    </row>
    <row r="393" spans="1:13">
      <c r="A393" s="56" t="s">
        <v>658</v>
      </c>
      <c r="B393" s="57" t="s">
        <v>431</v>
      </c>
      <c r="C393" s="57" t="s">
        <v>422</v>
      </c>
      <c r="D393" s="58" t="s">
        <v>475</v>
      </c>
      <c r="E393" s="58"/>
      <c r="F393" s="58"/>
      <c r="G393" s="58"/>
      <c r="H393" s="58"/>
      <c r="I393" s="58"/>
      <c r="J393" s="58"/>
      <c r="K393" s="59">
        <f>SUM(K396:K396)</f>
        <v>6</v>
      </c>
      <c r="L393" s="60">
        <f>L402</f>
        <v>14.45</v>
      </c>
      <c r="M393" s="60">
        <f>ROUND(K393*L393,2)</f>
        <v>86.7</v>
      </c>
    </row>
    <row r="394" spans="1:13" ht="56.25">
      <c r="A394" s="39"/>
      <c r="B394" s="39"/>
      <c r="C394" s="39"/>
      <c r="D394" s="36" t="s">
        <v>476</v>
      </c>
      <c r="E394" s="36"/>
      <c r="F394" s="36"/>
      <c r="G394" s="36"/>
      <c r="H394" s="36"/>
      <c r="I394" s="36"/>
      <c r="J394" s="36"/>
      <c r="K394" s="36"/>
      <c r="L394" s="36"/>
      <c r="M394" s="36"/>
    </row>
    <row r="395" spans="1:13">
      <c r="A395" s="39"/>
      <c r="B395" s="39"/>
      <c r="C395" s="39"/>
      <c r="D395" s="39"/>
      <c r="E395" s="40"/>
      <c r="F395" s="41" t="s">
        <v>434</v>
      </c>
      <c r="G395" s="41" t="s">
        <v>435</v>
      </c>
      <c r="H395" s="41" t="s">
        <v>436</v>
      </c>
      <c r="I395" s="41" t="s">
        <v>437</v>
      </c>
      <c r="J395" s="41" t="s">
        <v>438</v>
      </c>
      <c r="K395" s="41" t="s">
        <v>439</v>
      </c>
      <c r="L395" s="39"/>
      <c r="M395" s="39"/>
    </row>
    <row r="396" spans="1:13">
      <c r="A396" s="39"/>
      <c r="B396" s="39"/>
      <c r="C396" s="39"/>
      <c r="D396" s="42"/>
      <c r="E396" s="43" t="s">
        <v>1029</v>
      </c>
      <c r="F396" s="44">
        <v>3</v>
      </c>
      <c r="G396" s="45">
        <v>2</v>
      </c>
      <c r="H396" s="45"/>
      <c r="I396" s="45"/>
      <c r="J396" s="46">
        <f>ROUND(F396*G396,3)</f>
        <v>6</v>
      </c>
      <c r="K396" s="47">
        <f>SUM(J396:J396)</f>
        <v>6</v>
      </c>
      <c r="L396" s="39"/>
      <c r="M396" s="39"/>
    </row>
    <row r="397" spans="1:13">
      <c r="A397" s="35" t="s">
        <v>478</v>
      </c>
      <c r="B397" s="35" t="s">
        <v>451</v>
      </c>
      <c r="C397" s="35" t="s">
        <v>422</v>
      </c>
      <c r="D397" s="36" t="s">
        <v>475</v>
      </c>
      <c r="E397" s="36"/>
      <c r="F397" s="36"/>
      <c r="G397" s="36"/>
      <c r="H397" s="36"/>
      <c r="I397" s="36"/>
      <c r="J397" s="36"/>
      <c r="K397" s="37">
        <v>1</v>
      </c>
      <c r="L397" s="37">
        <f>ROUND(9.81,3)</f>
        <v>9.81</v>
      </c>
      <c r="M397" s="38">
        <f>ROUND(K397*L397,2)</f>
        <v>9.81</v>
      </c>
    </row>
    <row r="398" spans="1:13" ht="22.5">
      <c r="A398" s="35" t="s">
        <v>452</v>
      </c>
      <c r="B398" s="35" t="s">
        <v>451</v>
      </c>
      <c r="C398" s="35" t="s">
        <v>422</v>
      </c>
      <c r="D398" s="36" t="s">
        <v>453</v>
      </c>
      <c r="E398" s="36"/>
      <c r="F398" s="36"/>
      <c r="G398" s="36"/>
      <c r="H398" s="36"/>
      <c r="I398" s="36"/>
      <c r="J398" s="36"/>
      <c r="K398" s="37">
        <v>0.1</v>
      </c>
      <c r="L398" s="37">
        <f>ROUND(2.1,3)</f>
        <v>2.1</v>
      </c>
      <c r="M398" s="38">
        <f>ROUND(K398*L398,2)</f>
        <v>0.21</v>
      </c>
    </row>
    <row r="399" spans="1:13">
      <c r="A399" s="35" t="s">
        <v>454</v>
      </c>
      <c r="B399" s="35" t="s">
        <v>455</v>
      </c>
      <c r="C399" s="35" t="s">
        <v>456</v>
      </c>
      <c r="D399" s="36" t="s">
        <v>457</v>
      </c>
      <c r="E399" s="36"/>
      <c r="F399" s="36"/>
      <c r="G399" s="36"/>
      <c r="H399" s="36"/>
      <c r="I399" s="36"/>
      <c r="J399" s="36"/>
      <c r="K399" s="37">
        <v>0.11</v>
      </c>
      <c r="L399" s="37">
        <f>ROUND(17.82,3)</f>
        <v>17.82</v>
      </c>
      <c r="M399" s="38">
        <f>ROUND(K399*L399,2)</f>
        <v>1.96</v>
      </c>
    </row>
    <row r="400" spans="1:13">
      <c r="A400" s="35" t="s">
        <v>458</v>
      </c>
      <c r="B400" s="35" t="s">
        <v>455</v>
      </c>
      <c r="C400" s="35" t="s">
        <v>456</v>
      </c>
      <c r="D400" s="36" t="s">
        <v>459</v>
      </c>
      <c r="E400" s="36"/>
      <c r="F400" s="36"/>
      <c r="G400" s="36"/>
      <c r="H400" s="36"/>
      <c r="I400" s="36"/>
      <c r="J400" s="36"/>
      <c r="K400" s="37">
        <v>0.11</v>
      </c>
      <c r="L400" s="37">
        <f>ROUND(16.1,3)</f>
        <v>16.100000000000001</v>
      </c>
      <c r="M400" s="38">
        <f>ROUND(K400*L400,2)</f>
        <v>1.77</v>
      </c>
    </row>
    <row r="401" spans="1:13">
      <c r="A401" s="35" t="s">
        <v>460</v>
      </c>
      <c r="B401" s="35"/>
      <c r="C401" s="35" t="s">
        <v>460</v>
      </c>
      <c r="D401" s="36" t="s">
        <v>461</v>
      </c>
      <c r="E401" s="36"/>
      <c r="F401" s="36"/>
      <c r="G401" s="36"/>
      <c r="H401" s="36"/>
      <c r="I401" s="36"/>
      <c r="J401" s="36"/>
      <c r="K401" s="37">
        <v>2</v>
      </c>
      <c r="L401" s="37">
        <f>ROUND(13.75,3)</f>
        <v>13.75</v>
      </c>
      <c r="M401" s="38">
        <f>ROUND((K401*L401)/100,2)</f>
        <v>0.28000000000000003</v>
      </c>
    </row>
    <row r="402" spans="1:13">
      <c r="A402" s="52"/>
      <c r="B402" s="52"/>
      <c r="C402" s="52"/>
      <c r="D402" s="53" t="s">
        <v>658</v>
      </c>
      <c r="E402" s="52"/>
      <c r="F402" s="52"/>
      <c r="G402" s="52"/>
      <c r="H402" s="52"/>
      <c r="I402" s="52"/>
      <c r="J402" s="52"/>
      <c r="K402" s="54">
        <v>6</v>
      </c>
      <c r="L402" s="55">
        <f>ROUND((M397+M398+M399+M400+M401)*(1+M2/100),2)</f>
        <v>14.45</v>
      </c>
      <c r="M402" s="55">
        <f>ROUND(K402*L402,2)</f>
        <v>86.7</v>
      </c>
    </row>
    <row r="403" spans="1:13">
      <c r="A403" s="56" t="s">
        <v>474</v>
      </c>
      <c r="B403" s="57" t="s">
        <v>431</v>
      </c>
      <c r="C403" s="57" t="s">
        <v>422</v>
      </c>
      <c r="D403" s="58" t="s">
        <v>579</v>
      </c>
      <c r="E403" s="58"/>
      <c r="F403" s="58"/>
      <c r="G403" s="58"/>
      <c r="H403" s="58"/>
      <c r="I403" s="58"/>
      <c r="J403" s="58"/>
      <c r="K403" s="59">
        <f>SUM(K406:K407)</f>
        <v>4</v>
      </c>
      <c r="L403" s="60">
        <f>L413</f>
        <v>26.8</v>
      </c>
      <c r="M403" s="60">
        <f>ROUND(K403*L403,2)</f>
        <v>107.2</v>
      </c>
    </row>
    <row r="404" spans="1:13" ht="56.25">
      <c r="A404" s="39"/>
      <c r="B404" s="39"/>
      <c r="C404" s="39"/>
      <c r="D404" s="36" t="s">
        <v>580</v>
      </c>
      <c r="E404" s="36"/>
      <c r="F404" s="36"/>
      <c r="G404" s="36"/>
      <c r="H404" s="36"/>
      <c r="I404" s="36"/>
      <c r="J404" s="36"/>
      <c r="K404" s="36"/>
      <c r="L404" s="36"/>
      <c r="M404" s="36"/>
    </row>
    <row r="405" spans="1:13">
      <c r="A405" s="39"/>
      <c r="B405" s="39"/>
      <c r="C405" s="39"/>
      <c r="D405" s="39"/>
      <c r="E405" s="40"/>
      <c r="F405" s="41" t="s">
        <v>434</v>
      </c>
      <c r="G405" s="41" t="s">
        <v>435</v>
      </c>
      <c r="H405" s="41" t="s">
        <v>436</v>
      </c>
      <c r="I405" s="41" t="s">
        <v>437</v>
      </c>
      <c r="J405" s="41" t="s">
        <v>438</v>
      </c>
      <c r="K405" s="41" t="s">
        <v>439</v>
      </c>
      <c r="L405" s="39"/>
      <c r="M405" s="39"/>
    </row>
    <row r="406" spans="1:13" ht="22.5">
      <c r="A406" s="39"/>
      <c r="B406" s="39"/>
      <c r="C406" s="39"/>
      <c r="D406" s="42"/>
      <c r="E406" s="43" t="s">
        <v>1030</v>
      </c>
      <c r="F406" s="44">
        <v>2</v>
      </c>
      <c r="G406" s="45"/>
      <c r="H406" s="45"/>
      <c r="I406" s="45"/>
      <c r="J406" s="46">
        <f>ROUND(F406,3)</f>
        <v>2</v>
      </c>
      <c r="K406" s="48"/>
      <c r="L406" s="39"/>
      <c r="M406" s="39"/>
    </row>
    <row r="407" spans="1:13" ht="22.5">
      <c r="A407" s="39"/>
      <c r="B407" s="39"/>
      <c r="C407" s="39"/>
      <c r="D407" s="42"/>
      <c r="E407" s="35" t="s">
        <v>1031</v>
      </c>
      <c r="F407" s="49">
        <v>2</v>
      </c>
      <c r="G407" s="37"/>
      <c r="H407" s="37"/>
      <c r="I407" s="37"/>
      <c r="J407" s="50">
        <f>ROUND(F407,3)</f>
        <v>2</v>
      </c>
      <c r="K407" s="51">
        <f>SUM(J406:J407)</f>
        <v>4</v>
      </c>
      <c r="L407" s="39"/>
      <c r="M407" s="39"/>
    </row>
    <row r="408" spans="1:13">
      <c r="A408" s="35" t="s">
        <v>583</v>
      </c>
      <c r="B408" s="35" t="s">
        <v>451</v>
      </c>
      <c r="C408" s="35" t="s">
        <v>422</v>
      </c>
      <c r="D408" s="36" t="s">
        <v>579</v>
      </c>
      <c r="E408" s="36"/>
      <c r="F408" s="36"/>
      <c r="G408" s="36"/>
      <c r="H408" s="36"/>
      <c r="I408" s="36"/>
      <c r="J408" s="36"/>
      <c r="K408" s="37">
        <v>1</v>
      </c>
      <c r="L408" s="37">
        <f>ROUND(21.57,3)</f>
        <v>21.57</v>
      </c>
      <c r="M408" s="38">
        <f>ROUND(K408*L408,2)</f>
        <v>21.57</v>
      </c>
    </row>
    <row r="409" spans="1:13" ht="22.5">
      <c r="A409" s="35" t="s">
        <v>452</v>
      </c>
      <c r="B409" s="35" t="s">
        <v>451</v>
      </c>
      <c r="C409" s="35" t="s">
        <v>422</v>
      </c>
      <c r="D409" s="36" t="s">
        <v>453</v>
      </c>
      <c r="E409" s="36"/>
      <c r="F409" s="36"/>
      <c r="G409" s="36"/>
      <c r="H409" s="36"/>
      <c r="I409" s="36"/>
      <c r="J409" s="36"/>
      <c r="K409" s="37">
        <v>0.1</v>
      </c>
      <c r="L409" s="37">
        <f>ROUND(2.1,3)</f>
        <v>2.1</v>
      </c>
      <c r="M409" s="38">
        <f>ROUND(K409*L409,2)</f>
        <v>0.21</v>
      </c>
    </row>
    <row r="410" spans="1:13">
      <c r="A410" s="35" t="s">
        <v>454</v>
      </c>
      <c r="B410" s="35" t="s">
        <v>455</v>
      </c>
      <c r="C410" s="35" t="s">
        <v>456</v>
      </c>
      <c r="D410" s="36" t="s">
        <v>457</v>
      </c>
      <c r="E410" s="36"/>
      <c r="F410" s="36"/>
      <c r="G410" s="36"/>
      <c r="H410" s="36"/>
      <c r="I410" s="36"/>
      <c r="J410" s="36"/>
      <c r="K410" s="37">
        <v>0.11</v>
      </c>
      <c r="L410" s="37">
        <f>ROUND(17.82,3)</f>
        <v>17.82</v>
      </c>
      <c r="M410" s="38">
        <f>ROUND(K410*L410,2)</f>
        <v>1.96</v>
      </c>
    </row>
    <row r="411" spans="1:13">
      <c r="A411" s="35" t="s">
        <v>458</v>
      </c>
      <c r="B411" s="35" t="s">
        <v>455</v>
      </c>
      <c r="C411" s="35" t="s">
        <v>456</v>
      </c>
      <c r="D411" s="36" t="s">
        <v>459</v>
      </c>
      <c r="E411" s="36"/>
      <c r="F411" s="36"/>
      <c r="G411" s="36"/>
      <c r="H411" s="36"/>
      <c r="I411" s="36"/>
      <c r="J411" s="36"/>
      <c r="K411" s="37">
        <v>0.11</v>
      </c>
      <c r="L411" s="37">
        <f>ROUND(16.1,3)</f>
        <v>16.100000000000001</v>
      </c>
      <c r="M411" s="38">
        <f>ROUND(K411*L411,2)</f>
        <v>1.77</v>
      </c>
    </row>
    <row r="412" spans="1:13">
      <c r="A412" s="35" t="s">
        <v>460</v>
      </c>
      <c r="B412" s="35"/>
      <c r="C412" s="35" t="s">
        <v>460</v>
      </c>
      <c r="D412" s="36" t="s">
        <v>461</v>
      </c>
      <c r="E412" s="36"/>
      <c r="F412" s="36"/>
      <c r="G412" s="36"/>
      <c r="H412" s="36"/>
      <c r="I412" s="36"/>
      <c r="J412" s="36"/>
      <c r="K412" s="37">
        <v>2</v>
      </c>
      <c r="L412" s="37">
        <f>ROUND(25.51,3)</f>
        <v>25.51</v>
      </c>
      <c r="M412" s="38">
        <f>ROUND((K412*L412)/100,2)</f>
        <v>0.51</v>
      </c>
    </row>
    <row r="413" spans="1:13">
      <c r="A413" s="52"/>
      <c r="B413" s="52"/>
      <c r="C413" s="52"/>
      <c r="D413" s="53" t="s">
        <v>474</v>
      </c>
      <c r="E413" s="52"/>
      <c r="F413" s="52"/>
      <c r="G413" s="52"/>
      <c r="H413" s="52"/>
      <c r="I413" s="52"/>
      <c r="J413" s="52"/>
      <c r="K413" s="54">
        <v>4</v>
      </c>
      <c r="L413" s="55">
        <f>ROUND((M408+M409+M410+M411+M412)*(1+M2/100),2)</f>
        <v>26.8</v>
      </c>
      <c r="M413" s="55">
        <f>ROUND(K413*L413,2)</f>
        <v>107.2</v>
      </c>
    </row>
    <row r="414" spans="1:13">
      <c r="A414" s="56" t="s">
        <v>584</v>
      </c>
      <c r="B414" s="57" t="s">
        <v>431</v>
      </c>
      <c r="C414" s="57" t="s">
        <v>3</v>
      </c>
      <c r="D414" s="58" t="s">
        <v>585</v>
      </c>
      <c r="E414" s="58"/>
      <c r="F414" s="58"/>
      <c r="G414" s="58"/>
      <c r="H414" s="58"/>
      <c r="I414" s="58"/>
      <c r="J414" s="58"/>
      <c r="K414" s="59">
        <f>SUM(K417:K418)</f>
        <v>2</v>
      </c>
      <c r="L414" s="60">
        <f>ROUND(385*(1+M2/100),2)</f>
        <v>396.55</v>
      </c>
      <c r="M414" s="60">
        <f>ROUND(K414*L414,2)</f>
        <v>793.1</v>
      </c>
    </row>
    <row r="415" spans="1:13">
      <c r="A415" s="39"/>
      <c r="B415" s="39"/>
      <c r="C415" s="39"/>
      <c r="D415" s="36" t="s">
        <v>586</v>
      </c>
      <c r="E415" s="36"/>
      <c r="F415" s="36"/>
      <c r="G415" s="36"/>
      <c r="H415" s="36"/>
      <c r="I415" s="36"/>
      <c r="J415" s="36"/>
      <c r="K415" s="36"/>
      <c r="L415" s="36"/>
      <c r="M415" s="36"/>
    </row>
    <row r="416" spans="1:13">
      <c r="A416" s="39"/>
      <c r="B416" s="39"/>
      <c r="C416" s="39"/>
      <c r="D416" s="39"/>
      <c r="E416" s="40"/>
      <c r="F416" s="41" t="s">
        <v>434</v>
      </c>
      <c r="G416" s="41" t="s">
        <v>435</v>
      </c>
      <c r="H416" s="41" t="s">
        <v>436</v>
      </c>
      <c r="I416" s="41" t="s">
        <v>437</v>
      </c>
      <c r="J416" s="41" t="s">
        <v>438</v>
      </c>
      <c r="K416" s="41" t="s">
        <v>439</v>
      </c>
      <c r="L416" s="39"/>
      <c r="M416" s="39"/>
    </row>
    <row r="417" spans="1:13">
      <c r="A417" s="39"/>
      <c r="B417" s="39"/>
      <c r="C417" s="39"/>
      <c r="D417" s="42"/>
      <c r="E417" s="43"/>
      <c r="F417" s="44">
        <v>1</v>
      </c>
      <c r="G417" s="45"/>
      <c r="H417" s="45"/>
      <c r="I417" s="45"/>
      <c r="J417" s="46">
        <f>ROUND(F417,3)</f>
        <v>1</v>
      </c>
      <c r="K417" s="48"/>
      <c r="L417" s="39"/>
      <c r="M417" s="39"/>
    </row>
    <row r="418" spans="1:13">
      <c r="A418" s="39"/>
      <c r="B418" s="39"/>
      <c r="C418" s="39"/>
      <c r="D418" s="42"/>
      <c r="E418" s="35"/>
      <c r="F418" s="49">
        <v>1</v>
      </c>
      <c r="G418" s="37"/>
      <c r="H418" s="37"/>
      <c r="I418" s="37"/>
      <c r="J418" s="50">
        <f>ROUND(F418,3)</f>
        <v>1</v>
      </c>
      <c r="K418" s="51">
        <f>SUM(J417:J418)</f>
        <v>2</v>
      </c>
      <c r="L418" s="39"/>
      <c r="M418" s="39"/>
    </row>
    <row r="419" spans="1:13">
      <c r="A419" s="34" t="s">
        <v>622</v>
      </c>
      <c r="B419" s="35" t="s">
        <v>431</v>
      </c>
      <c r="C419" s="35" t="s">
        <v>3</v>
      </c>
      <c r="D419" s="36" t="s">
        <v>623</v>
      </c>
      <c r="E419" s="36"/>
      <c r="F419" s="36"/>
      <c r="G419" s="36"/>
      <c r="H419" s="36"/>
      <c r="I419" s="36"/>
      <c r="J419" s="36"/>
      <c r="K419" s="37">
        <f>SUM(K422:K423)</f>
        <v>7</v>
      </c>
      <c r="L419" s="38">
        <f>L428</f>
        <v>1595.6</v>
      </c>
      <c r="M419" s="38">
        <f>ROUND(K419*L419,2)</f>
        <v>11169.2</v>
      </c>
    </row>
    <row r="420" spans="1:13">
      <c r="A420" s="39"/>
      <c r="B420" s="39"/>
      <c r="C420" s="39"/>
      <c r="D420" s="36" t="s">
        <v>624</v>
      </c>
      <c r="E420" s="36"/>
      <c r="F420" s="36"/>
      <c r="G420" s="36"/>
      <c r="H420" s="36"/>
      <c r="I420" s="36"/>
      <c r="J420" s="36"/>
      <c r="K420" s="36"/>
      <c r="L420" s="36"/>
      <c r="M420" s="36"/>
    </row>
    <row r="421" spans="1:13">
      <c r="A421" s="39"/>
      <c r="B421" s="39"/>
      <c r="C421" s="39"/>
      <c r="D421" s="39"/>
      <c r="E421" s="40"/>
      <c r="F421" s="41" t="s">
        <v>434</v>
      </c>
      <c r="G421" s="41" t="s">
        <v>435</v>
      </c>
      <c r="H421" s="41" t="s">
        <v>436</v>
      </c>
      <c r="I421" s="41" t="s">
        <v>437</v>
      </c>
      <c r="J421" s="41" t="s">
        <v>438</v>
      </c>
      <c r="K421" s="41" t="s">
        <v>439</v>
      </c>
      <c r="L421" s="39"/>
      <c r="M421" s="39"/>
    </row>
    <row r="422" spans="1:13">
      <c r="A422" s="39"/>
      <c r="B422" s="39"/>
      <c r="C422" s="39"/>
      <c r="D422" s="42"/>
      <c r="E422" s="43" t="s">
        <v>1032</v>
      </c>
      <c r="F422" s="44">
        <v>3</v>
      </c>
      <c r="G422" s="45"/>
      <c r="H422" s="45"/>
      <c r="I422" s="45"/>
      <c r="J422" s="46">
        <f>ROUND(F422,3)</f>
        <v>3</v>
      </c>
      <c r="K422" s="48"/>
      <c r="L422" s="39"/>
      <c r="M422" s="39"/>
    </row>
    <row r="423" spans="1:13">
      <c r="A423" s="39"/>
      <c r="B423" s="39"/>
      <c r="C423" s="39"/>
      <c r="D423" s="42"/>
      <c r="E423" s="35" t="s">
        <v>1033</v>
      </c>
      <c r="F423" s="49">
        <v>4</v>
      </c>
      <c r="G423" s="37"/>
      <c r="H423" s="37"/>
      <c r="I423" s="37"/>
      <c r="J423" s="50">
        <f>ROUND(F423,3)</f>
        <v>4</v>
      </c>
      <c r="K423" s="51">
        <f>SUM(J422:J423)</f>
        <v>7</v>
      </c>
      <c r="L423" s="39"/>
      <c r="M423" s="39"/>
    </row>
    <row r="424" spans="1:13">
      <c r="A424" s="35" t="s">
        <v>529</v>
      </c>
      <c r="B424" s="35" t="s">
        <v>455</v>
      </c>
      <c r="C424" s="35" t="s">
        <v>456</v>
      </c>
      <c r="D424" s="36" t="s">
        <v>530</v>
      </c>
      <c r="E424" s="36"/>
      <c r="F424" s="36"/>
      <c r="G424" s="36"/>
      <c r="H424" s="36"/>
      <c r="I424" s="36"/>
      <c r="J424" s="36"/>
      <c r="K424" s="37">
        <v>0.88</v>
      </c>
      <c r="L424" s="37">
        <f>ROUND(17.32,3)</f>
        <v>17.32</v>
      </c>
      <c r="M424" s="38">
        <f t="shared" ref="M424:M429" si="15">ROUND(K424*L424,2)</f>
        <v>15.24</v>
      </c>
    </row>
    <row r="425" spans="1:13">
      <c r="A425" s="35" t="s">
        <v>527</v>
      </c>
      <c r="B425" s="35" t="s">
        <v>455</v>
      </c>
      <c r="C425" s="35" t="s">
        <v>456</v>
      </c>
      <c r="D425" s="36" t="s">
        <v>528</v>
      </c>
      <c r="E425" s="36"/>
      <c r="F425" s="36"/>
      <c r="G425" s="36"/>
      <c r="H425" s="36"/>
      <c r="I425" s="36"/>
      <c r="J425" s="36"/>
      <c r="K425" s="37">
        <v>0.88</v>
      </c>
      <c r="L425" s="37">
        <f>ROUND(20.33,3)</f>
        <v>20.329999999999998</v>
      </c>
      <c r="M425" s="38">
        <f t="shared" si="15"/>
        <v>17.89</v>
      </c>
    </row>
    <row r="426" spans="1:13">
      <c r="A426" s="35" t="s">
        <v>625</v>
      </c>
      <c r="B426" s="35" t="s">
        <v>451</v>
      </c>
      <c r="C426" s="35" t="s">
        <v>3</v>
      </c>
      <c r="D426" s="36" t="s">
        <v>626</v>
      </c>
      <c r="E426" s="36"/>
      <c r="F426" s="36"/>
      <c r="G426" s="36"/>
      <c r="H426" s="36"/>
      <c r="I426" s="36"/>
      <c r="J426" s="36"/>
      <c r="K426" s="37">
        <v>1</v>
      </c>
      <c r="L426" s="37">
        <f>ROUND(1512.4,3)</f>
        <v>1512.4</v>
      </c>
      <c r="M426" s="38">
        <f t="shared" si="15"/>
        <v>1512.4</v>
      </c>
    </row>
    <row r="427" spans="1:13" ht="22.5">
      <c r="A427" s="35" t="s">
        <v>531</v>
      </c>
      <c r="B427" s="35" t="s">
        <v>451</v>
      </c>
      <c r="C427" s="35" t="s">
        <v>56</v>
      </c>
      <c r="D427" s="36" t="s">
        <v>532</v>
      </c>
      <c r="E427" s="36"/>
      <c r="F427" s="36"/>
      <c r="G427" s="36"/>
      <c r="H427" s="36"/>
      <c r="I427" s="36"/>
      <c r="J427" s="36"/>
      <c r="K427" s="37">
        <v>9</v>
      </c>
      <c r="L427" s="37">
        <f>ROUND(0.4,3)</f>
        <v>0.4</v>
      </c>
      <c r="M427" s="38">
        <f t="shared" si="15"/>
        <v>3.6</v>
      </c>
    </row>
    <row r="428" spans="1:13">
      <c r="A428" s="52"/>
      <c r="B428" s="52"/>
      <c r="C428" s="52"/>
      <c r="D428" s="53" t="s">
        <v>622</v>
      </c>
      <c r="E428" s="52"/>
      <c r="F428" s="52"/>
      <c r="G428" s="52"/>
      <c r="H428" s="52"/>
      <c r="I428" s="52"/>
      <c r="J428" s="52"/>
      <c r="K428" s="54">
        <v>7</v>
      </c>
      <c r="L428" s="55">
        <f>ROUND((M424+M425+M426+M427)*(1+M2/100),2)</f>
        <v>1595.6</v>
      </c>
      <c r="M428" s="55">
        <f t="shared" si="15"/>
        <v>11169.2</v>
      </c>
    </row>
    <row r="429" spans="1:13">
      <c r="A429" s="56" t="s">
        <v>627</v>
      </c>
      <c r="B429" s="57" t="s">
        <v>431</v>
      </c>
      <c r="C429" s="57" t="s">
        <v>3</v>
      </c>
      <c r="D429" s="58" t="s">
        <v>629</v>
      </c>
      <c r="E429" s="58"/>
      <c r="F429" s="58"/>
      <c r="G429" s="58"/>
      <c r="H429" s="58"/>
      <c r="I429" s="58"/>
      <c r="J429" s="58"/>
      <c r="K429" s="59">
        <f>SUM(K432:K433)</f>
        <v>7</v>
      </c>
      <c r="L429" s="60">
        <f>L437</f>
        <v>191.31</v>
      </c>
      <c r="M429" s="60">
        <f t="shared" si="15"/>
        <v>1339.17</v>
      </c>
    </row>
    <row r="430" spans="1:13">
      <c r="A430" s="39"/>
      <c r="B430" s="39"/>
      <c r="C430" s="39"/>
      <c r="D430" s="36" t="s">
        <v>629</v>
      </c>
      <c r="E430" s="36"/>
      <c r="F430" s="36"/>
      <c r="G430" s="36"/>
      <c r="H430" s="36"/>
      <c r="I430" s="36"/>
      <c r="J430" s="36"/>
      <c r="K430" s="36"/>
      <c r="L430" s="36"/>
      <c r="M430" s="36"/>
    </row>
    <row r="431" spans="1:13">
      <c r="A431" s="39"/>
      <c r="B431" s="39"/>
      <c r="C431" s="39"/>
      <c r="D431" s="39"/>
      <c r="E431" s="40"/>
      <c r="F431" s="41" t="s">
        <v>434</v>
      </c>
      <c r="G431" s="41" t="s">
        <v>435</v>
      </c>
      <c r="H431" s="41" t="s">
        <v>436</v>
      </c>
      <c r="I431" s="41" t="s">
        <v>437</v>
      </c>
      <c r="J431" s="41" t="s">
        <v>438</v>
      </c>
      <c r="K431" s="41" t="s">
        <v>439</v>
      </c>
      <c r="L431" s="39"/>
      <c r="M431" s="39"/>
    </row>
    <row r="432" spans="1:13">
      <c r="A432" s="39"/>
      <c r="B432" s="39"/>
      <c r="C432" s="39"/>
      <c r="D432" s="42"/>
      <c r="E432" s="43" t="s">
        <v>1032</v>
      </c>
      <c r="F432" s="44">
        <v>3</v>
      </c>
      <c r="G432" s="45"/>
      <c r="H432" s="45"/>
      <c r="I432" s="45"/>
      <c r="J432" s="46">
        <f>ROUND(F432,3)</f>
        <v>3</v>
      </c>
      <c r="K432" s="48"/>
      <c r="L432" s="39"/>
      <c r="M432" s="39"/>
    </row>
    <row r="433" spans="1:13">
      <c r="A433" s="39"/>
      <c r="B433" s="39"/>
      <c r="C433" s="39"/>
      <c r="D433" s="42"/>
      <c r="E433" s="35" t="s">
        <v>1033</v>
      </c>
      <c r="F433" s="49">
        <v>4</v>
      </c>
      <c r="G433" s="37"/>
      <c r="H433" s="37"/>
      <c r="I433" s="37"/>
      <c r="J433" s="50">
        <f>ROUND(F433,3)</f>
        <v>4</v>
      </c>
      <c r="K433" s="51">
        <f>SUM(J432:J433)</f>
        <v>7</v>
      </c>
      <c r="L433" s="39"/>
      <c r="M433" s="39"/>
    </row>
    <row r="434" spans="1:13">
      <c r="A434" s="35" t="s">
        <v>529</v>
      </c>
      <c r="B434" s="35" t="s">
        <v>455</v>
      </c>
      <c r="C434" s="35" t="s">
        <v>456</v>
      </c>
      <c r="D434" s="36" t="s">
        <v>530</v>
      </c>
      <c r="E434" s="36"/>
      <c r="F434" s="36"/>
      <c r="G434" s="36"/>
      <c r="H434" s="36"/>
      <c r="I434" s="36"/>
      <c r="J434" s="36"/>
      <c r="K434" s="37">
        <v>1</v>
      </c>
      <c r="L434" s="37">
        <f>ROUND(17.32,3)</f>
        <v>17.32</v>
      </c>
      <c r="M434" s="38">
        <f>ROUND(K434*L434,2)</f>
        <v>17.32</v>
      </c>
    </row>
    <row r="435" spans="1:13">
      <c r="A435" s="35" t="s">
        <v>458</v>
      </c>
      <c r="B435" s="35" t="s">
        <v>455</v>
      </c>
      <c r="C435" s="35" t="s">
        <v>456</v>
      </c>
      <c r="D435" s="36" t="s">
        <v>459</v>
      </c>
      <c r="E435" s="36"/>
      <c r="F435" s="36"/>
      <c r="G435" s="36"/>
      <c r="H435" s="36"/>
      <c r="I435" s="36"/>
      <c r="J435" s="36"/>
      <c r="K435" s="37">
        <v>1</v>
      </c>
      <c r="L435" s="37">
        <f>ROUND(16.1,3)</f>
        <v>16.100000000000001</v>
      </c>
      <c r="M435" s="38">
        <f>ROUND(K435*L435,2)</f>
        <v>16.100000000000001</v>
      </c>
    </row>
    <row r="436" spans="1:13">
      <c r="A436" s="35" t="s">
        <v>630</v>
      </c>
      <c r="B436" s="35" t="s">
        <v>451</v>
      </c>
      <c r="C436" s="35" t="s">
        <v>3</v>
      </c>
      <c r="D436" s="36" t="s">
        <v>631</v>
      </c>
      <c r="E436" s="36"/>
      <c r="F436" s="36"/>
      <c r="G436" s="36"/>
      <c r="H436" s="36"/>
      <c r="I436" s="36"/>
      <c r="J436" s="36"/>
      <c r="K436" s="37">
        <v>1</v>
      </c>
      <c r="L436" s="37">
        <f>ROUND(152.32,3)</f>
        <v>152.32</v>
      </c>
      <c r="M436" s="38">
        <f>ROUND(K436*L436,2)</f>
        <v>152.32</v>
      </c>
    </row>
    <row r="437" spans="1:13">
      <c r="A437" s="52"/>
      <c r="B437" s="52"/>
      <c r="C437" s="52"/>
      <c r="D437" s="53" t="s">
        <v>627</v>
      </c>
      <c r="E437" s="52"/>
      <c r="F437" s="52"/>
      <c r="G437" s="52"/>
      <c r="H437" s="52"/>
      <c r="I437" s="52"/>
      <c r="J437" s="52"/>
      <c r="K437" s="54">
        <v>7</v>
      </c>
      <c r="L437" s="55">
        <f>ROUND((M434+M435+M436)*(1+M2/100),2)</f>
        <v>191.31</v>
      </c>
      <c r="M437" s="55">
        <f>ROUND(K437*L437,2)</f>
        <v>1339.17</v>
      </c>
    </row>
    <row r="438" spans="1:13">
      <c r="A438" s="56" t="s">
        <v>662</v>
      </c>
      <c r="B438" s="57" t="s">
        <v>431</v>
      </c>
      <c r="C438" s="57" t="s">
        <v>422</v>
      </c>
      <c r="D438" s="58" t="s">
        <v>1034</v>
      </c>
      <c r="E438" s="58"/>
      <c r="F438" s="58"/>
      <c r="G438" s="58"/>
      <c r="H438" s="58"/>
      <c r="I438" s="58"/>
      <c r="J438" s="58"/>
      <c r="K438" s="59">
        <f>ROUND(7,2)</f>
        <v>7</v>
      </c>
      <c r="L438" s="60">
        <f>L443</f>
        <v>47.15</v>
      </c>
      <c r="M438" s="60">
        <f>ROUND(K438*L438,2)</f>
        <v>330.05</v>
      </c>
    </row>
    <row r="439" spans="1:13" ht="67.5">
      <c r="A439" s="39"/>
      <c r="B439" s="39"/>
      <c r="C439" s="39"/>
      <c r="D439" s="36" t="s">
        <v>634</v>
      </c>
      <c r="E439" s="36"/>
      <c r="F439" s="36"/>
      <c r="G439" s="36"/>
      <c r="H439" s="36"/>
      <c r="I439" s="36"/>
      <c r="J439" s="36"/>
      <c r="K439" s="36"/>
      <c r="L439" s="36"/>
      <c r="M439" s="36"/>
    </row>
    <row r="440" spans="1:13" ht="22.5">
      <c r="A440" s="35" t="s">
        <v>635</v>
      </c>
      <c r="B440" s="35" t="s">
        <v>451</v>
      </c>
      <c r="C440" s="35" t="s">
        <v>422</v>
      </c>
      <c r="D440" s="36" t="s">
        <v>636</v>
      </c>
      <c r="E440" s="36"/>
      <c r="F440" s="36"/>
      <c r="G440" s="36"/>
      <c r="H440" s="36"/>
      <c r="I440" s="36"/>
      <c r="J440" s="36"/>
      <c r="K440" s="37">
        <v>1</v>
      </c>
      <c r="L440" s="37">
        <f>ROUND(39.29,3)</f>
        <v>39.29</v>
      </c>
      <c r="M440" s="38">
        <f>ROUND(K440*L440,2)</f>
        <v>39.29</v>
      </c>
    </row>
    <row r="441" spans="1:13">
      <c r="A441" s="35" t="s">
        <v>493</v>
      </c>
      <c r="B441" s="35" t="s">
        <v>455</v>
      </c>
      <c r="C441" s="35" t="s">
        <v>456</v>
      </c>
      <c r="D441" s="36" t="s">
        <v>494</v>
      </c>
      <c r="E441" s="36"/>
      <c r="F441" s="36"/>
      <c r="G441" s="36"/>
      <c r="H441" s="36"/>
      <c r="I441" s="36"/>
      <c r="J441" s="36"/>
      <c r="K441" s="37">
        <v>0.27500000000000002</v>
      </c>
      <c r="L441" s="37">
        <f>ROUND(20.33,3)</f>
        <v>20.329999999999998</v>
      </c>
      <c r="M441" s="38">
        <f>ROUND(K441*L441,2)</f>
        <v>5.59</v>
      </c>
    </row>
    <row r="442" spans="1:13">
      <c r="A442" s="35" t="s">
        <v>460</v>
      </c>
      <c r="B442" s="35"/>
      <c r="C442" s="35" t="s">
        <v>460</v>
      </c>
      <c r="D442" s="36" t="s">
        <v>461</v>
      </c>
      <c r="E442" s="36"/>
      <c r="F442" s="36"/>
      <c r="G442" s="36"/>
      <c r="H442" s="36"/>
      <c r="I442" s="36"/>
      <c r="J442" s="36"/>
      <c r="K442" s="37">
        <v>2</v>
      </c>
      <c r="L442" s="37">
        <f>ROUND(44.88,3)</f>
        <v>44.88</v>
      </c>
      <c r="M442" s="38">
        <f>ROUND((K442*L442)/100,2)</f>
        <v>0.9</v>
      </c>
    </row>
    <row r="443" spans="1:13">
      <c r="A443" s="52"/>
      <c r="B443" s="52"/>
      <c r="C443" s="52"/>
      <c r="D443" s="53" t="s">
        <v>662</v>
      </c>
      <c r="E443" s="52"/>
      <c r="F443" s="52"/>
      <c r="G443" s="52"/>
      <c r="H443" s="52"/>
      <c r="I443" s="52"/>
      <c r="J443" s="52"/>
      <c r="K443" s="54">
        <v>7</v>
      </c>
      <c r="L443" s="55">
        <f>ROUND((M440+M441+M442)*(1+M2/100),2)</f>
        <v>47.15</v>
      </c>
      <c r="M443" s="55">
        <f>ROUND(K443*L443,2)</f>
        <v>330.05</v>
      </c>
    </row>
    <row r="444" spans="1:13">
      <c r="A444" s="56" t="s">
        <v>637</v>
      </c>
      <c r="B444" s="57" t="s">
        <v>431</v>
      </c>
      <c r="C444" s="57" t="s">
        <v>3</v>
      </c>
      <c r="D444" s="58" t="s">
        <v>638</v>
      </c>
      <c r="E444" s="58"/>
      <c r="F444" s="58"/>
      <c r="G444" s="58"/>
      <c r="H444" s="58"/>
      <c r="I444" s="58"/>
      <c r="J444" s="58"/>
      <c r="K444" s="59">
        <f>ROUND(1,2)</f>
        <v>1</v>
      </c>
      <c r="L444" s="60">
        <f>ROUND(241*(1+M2/100),2)</f>
        <v>248.23</v>
      </c>
      <c r="M444" s="60">
        <f>ROUND(K444*L444,2)</f>
        <v>248.23</v>
      </c>
    </row>
    <row r="445" spans="1:13">
      <c r="A445" s="39"/>
      <c r="B445" s="39"/>
      <c r="C445" s="39"/>
      <c r="D445" s="36" t="s">
        <v>639</v>
      </c>
      <c r="E445" s="36"/>
      <c r="F445" s="36"/>
      <c r="G445" s="36"/>
      <c r="H445" s="36"/>
      <c r="I445" s="36"/>
      <c r="J445" s="36"/>
      <c r="K445" s="36"/>
      <c r="L445" s="36"/>
      <c r="M445" s="36"/>
    </row>
    <row r="446" spans="1:13">
      <c r="A446" s="34" t="s">
        <v>647</v>
      </c>
      <c r="B446" s="35" t="s">
        <v>431</v>
      </c>
      <c r="C446" s="35" t="s">
        <v>534</v>
      </c>
      <c r="D446" s="36" t="s">
        <v>535</v>
      </c>
      <c r="E446" s="36"/>
      <c r="F446" s="36"/>
      <c r="G446" s="36"/>
      <c r="H446" s="36"/>
      <c r="I446" s="36"/>
      <c r="J446" s="36"/>
      <c r="K446" s="37">
        <f>SUM(K449:K449)</f>
        <v>160</v>
      </c>
      <c r="L446" s="38">
        <f>L457</f>
        <v>6.65</v>
      </c>
      <c r="M446" s="38">
        <f>ROUND(K446*L446,2)</f>
        <v>1064</v>
      </c>
    </row>
    <row r="447" spans="1:13" ht="112.5">
      <c r="A447" s="39"/>
      <c r="B447" s="39"/>
      <c r="C447" s="39"/>
      <c r="D447" s="36" t="s">
        <v>536</v>
      </c>
      <c r="E447" s="36"/>
      <c r="F447" s="36"/>
      <c r="G447" s="36"/>
      <c r="H447" s="36"/>
      <c r="I447" s="36"/>
      <c r="J447" s="36"/>
      <c r="K447" s="36"/>
      <c r="L447" s="36"/>
      <c r="M447" s="36"/>
    </row>
    <row r="448" spans="1:13">
      <c r="A448" s="39"/>
      <c r="B448" s="39"/>
      <c r="C448" s="39"/>
      <c r="D448" s="39"/>
      <c r="E448" s="40"/>
      <c r="F448" s="41" t="s">
        <v>434</v>
      </c>
      <c r="G448" s="41" t="s">
        <v>435</v>
      </c>
      <c r="H448" s="41" t="s">
        <v>436</v>
      </c>
      <c r="I448" s="41" t="s">
        <v>437</v>
      </c>
      <c r="J448" s="41" t="s">
        <v>438</v>
      </c>
      <c r="K448" s="41" t="s">
        <v>439</v>
      </c>
      <c r="L448" s="39"/>
      <c r="M448" s="39"/>
    </row>
    <row r="449" spans="1:13">
      <c r="A449" s="39"/>
      <c r="B449" s="39"/>
      <c r="C449" s="39"/>
      <c r="D449" s="42"/>
      <c r="E449" s="43"/>
      <c r="F449" s="44">
        <v>160</v>
      </c>
      <c r="G449" s="45"/>
      <c r="H449" s="45"/>
      <c r="I449" s="45"/>
      <c r="J449" s="46">
        <f>ROUND(F449,3)</f>
        <v>160</v>
      </c>
      <c r="K449" s="47">
        <f>SUM(J449:J449)</f>
        <v>160</v>
      </c>
      <c r="L449" s="39"/>
      <c r="M449" s="39"/>
    </row>
    <row r="450" spans="1:13">
      <c r="A450" s="35" t="s">
        <v>537</v>
      </c>
      <c r="B450" s="35" t="s">
        <v>451</v>
      </c>
      <c r="C450" s="35" t="s">
        <v>538</v>
      </c>
      <c r="D450" s="36" t="s">
        <v>539</v>
      </c>
      <c r="E450" s="36"/>
      <c r="F450" s="36"/>
      <c r="G450" s="36"/>
      <c r="H450" s="36"/>
      <c r="I450" s="36"/>
      <c r="J450" s="36"/>
      <c r="K450" s="37">
        <v>1.4999999999999999E-2</v>
      </c>
      <c r="L450" s="37">
        <f>ROUND(78.89,3)</f>
        <v>78.89</v>
      </c>
      <c r="M450" s="38">
        <f t="shared" ref="M450:M455" si="16">ROUND(K450*L450,2)</f>
        <v>1.18</v>
      </c>
    </row>
    <row r="451" spans="1:13">
      <c r="A451" s="35" t="s">
        <v>540</v>
      </c>
      <c r="B451" s="35" t="s">
        <v>451</v>
      </c>
      <c r="C451" s="35" t="s">
        <v>538</v>
      </c>
      <c r="D451" s="36" t="s">
        <v>541</v>
      </c>
      <c r="E451" s="36"/>
      <c r="F451" s="36"/>
      <c r="G451" s="36"/>
      <c r="H451" s="36"/>
      <c r="I451" s="36"/>
      <c r="J451" s="36"/>
      <c r="K451" s="37">
        <v>6.0000000000000001E-3</v>
      </c>
      <c r="L451" s="37">
        <f>ROUND(1.5,3)</f>
        <v>1.5</v>
      </c>
      <c r="M451" s="38">
        <f t="shared" si="16"/>
        <v>0.01</v>
      </c>
    </row>
    <row r="452" spans="1:13" ht="22.5">
      <c r="A452" s="35" t="s">
        <v>542</v>
      </c>
      <c r="B452" s="35" t="s">
        <v>451</v>
      </c>
      <c r="C452" s="35" t="s">
        <v>543</v>
      </c>
      <c r="D452" s="36" t="s">
        <v>544</v>
      </c>
      <c r="E452" s="36"/>
      <c r="F452" s="36"/>
      <c r="G452" s="36"/>
      <c r="H452" s="36"/>
      <c r="I452" s="36"/>
      <c r="J452" s="36"/>
      <c r="K452" s="37">
        <v>1.9E-2</v>
      </c>
      <c r="L452" s="37">
        <f>ROUND(36.25,3)</f>
        <v>36.25</v>
      </c>
      <c r="M452" s="38">
        <f t="shared" si="16"/>
        <v>0.69</v>
      </c>
    </row>
    <row r="453" spans="1:13">
      <c r="A453" s="35" t="s">
        <v>545</v>
      </c>
      <c r="B453" s="35" t="s">
        <v>525</v>
      </c>
      <c r="C453" s="35" t="s">
        <v>456</v>
      </c>
      <c r="D453" s="36" t="s">
        <v>546</v>
      </c>
      <c r="E453" s="36"/>
      <c r="F453" s="36"/>
      <c r="G453" s="36"/>
      <c r="H453" s="36"/>
      <c r="I453" s="36"/>
      <c r="J453" s="36"/>
      <c r="K453" s="37">
        <v>5.0000000000000001E-3</v>
      </c>
      <c r="L453" s="37">
        <f>ROUND(25,3)</f>
        <v>25</v>
      </c>
      <c r="M453" s="38">
        <f t="shared" si="16"/>
        <v>0.13</v>
      </c>
    </row>
    <row r="454" spans="1:13">
      <c r="A454" s="35" t="s">
        <v>547</v>
      </c>
      <c r="B454" s="35" t="s">
        <v>455</v>
      </c>
      <c r="C454" s="35" t="s">
        <v>456</v>
      </c>
      <c r="D454" s="36" t="s">
        <v>548</v>
      </c>
      <c r="E454" s="36"/>
      <c r="F454" s="36"/>
      <c r="G454" s="36"/>
      <c r="H454" s="36"/>
      <c r="I454" s="36"/>
      <c r="J454" s="36"/>
      <c r="K454" s="37">
        <v>7.0000000000000007E-2</v>
      </c>
      <c r="L454" s="37">
        <f>ROUND(20.09,3)</f>
        <v>20.09</v>
      </c>
      <c r="M454" s="38">
        <f t="shared" si="16"/>
        <v>1.41</v>
      </c>
    </row>
    <row r="455" spans="1:13">
      <c r="A455" s="35" t="s">
        <v>549</v>
      </c>
      <c r="B455" s="35" t="s">
        <v>455</v>
      </c>
      <c r="C455" s="35" t="s">
        <v>456</v>
      </c>
      <c r="D455" s="36" t="s">
        <v>550</v>
      </c>
      <c r="E455" s="36"/>
      <c r="F455" s="36"/>
      <c r="G455" s="36"/>
      <c r="H455" s="36"/>
      <c r="I455" s="36"/>
      <c r="J455" s="36"/>
      <c r="K455" s="37">
        <v>0.17599999999999999</v>
      </c>
      <c r="L455" s="37">
        <f>ROUND(15.88,3)</f>
        <v>15.88</v>
      </c>
      <c r="M455" s="38">
        <f t="shared" si="16"/>
        <v>2.79</v>
      </c>
    </row>
    <row r="456" spans="1:13">
      <c r="A456" s="35" t="s">
        <v>460</v>
      </c>
      <c r="B456" s="35"/>
      <c r="C456" s="35" t="s">
        <v>460</v>
      </c>
      <c r="D456" s="36" t="s">
        <v>461</v>
      </c>
      <c r="E456" s="36"/>
      <c r="F456" s="36"/>
      <c r="G456" s="36"/>
      <c r="H456" s="36"/>
      <c r="I456" s="36"/>
      <c r="J456" s="36"/>
      <c r="K456" s="37">
        <v>4</v>
      </c>
      <c r="L456" s="37">
        <f>ROUND(6.21,3)</f>
        <v>6.21</v>
      </c>
      <c r="M456" s="38">
        <f>ROUND((K456*L456)/100,2)</f>
        <v>0.25</v>
      </c>
    </row>
    <row r="457" spans="1:13">
      <c r="A457" s="52"/>
      <c r="B457" s="52"/>
      <c r="C457" s="52"/>
      <c r="D457" s="53" t="s">
        <v>647</v>
      </c>
      <c r="E457" s="52"/>
      <c r="F457" s="52"/>
      <c r="G457" s="52"/>
      <c r="H457" s="52"/>
      <c r="I457" s="52"/>
      <c r="J457" s="52"/>
      <c r="K457" s="54">
        <v>160</v>
      </c>
      <c r="L457" s="55">
        <f>ROUND((M450+M451+M452+M453+M454+M455+M456)*(1+M2/100),2)</f>
        <v>6.65</v>
      </c>
      <c r="M457" s="55">
        <f>ROUND(K457*L457,2)</f>
        <v>1064</v>
      </c>
    </row>
    <row r="458" spans="1:13" ht="33.75">
      <c r="A458" s="56" t="s">
        <v>643</v>
      </c>
      <c r="B458" s="57" t="s">
        <v>431</v>
      </c>
      <c r="C458" s="57" t="s">
        <v>56</v>
      </c>
      <c r="D458" s="58" t="s">
        <v>569</v>
      </c>
      <c r="E458" s="58"/>
      <c r="F458" s="58"/>
      <c r="G458" s="58"/>
      <c r="H458" s="58"/>
      <c r="I458" s="58"/>
      <c r="J458" s="58"/>
      <c r="K458" s="59">
        <f>SUM(K461:K461)</f>
        <v>54.6</v>
      </c>
      <c r="L458" s="60">
        <f>L469</f>
        <v>31.85</v>
      </c>
      <c r="M458" s="60">
        <f>ROUND(K458*L458,2)</f>
        <v>1739.01</v>
      </c>
    </row>
    <row r="459" spans="1:13" ht="112.5">
      <c r="A459" s="39"/>
      <c r="B459" s="39"/>
      <c r="C459" s="39"/>
      <c r="D459" s="36" t="s">
        <v>570</v>
      </c>
      <c r="E459" s="36"/>
      <c r="F459" s="36"/>
      <c r="G459" s="36"/>
      <c r="H459" s="36"/>
      <c r="I459" s="36"/>
      <c r="J459" s="36"/>
      <c r="K459" s="36"/>
      <c r="L459" s="36"/>
      <c r="M459" s="36"/>
    </row>
    <row r="460" spans="1:13">
      <c r="A460" s="39"/>
      <c r="B460" s="39"/>
      <c r="C460" s="39"/>
      <c r="D460" s="39"/>
      <c r="E460" s="40"/>
      <c r="F460" s="41" t="s">
        <v>434</v>
      </c>
      <c r="G460" s="41" t="s">
        <v>435</v>
      </c>
      <c r="H460" s="41" t="s">
        <v>436</v>
      </c>
      <c r="I460" s="41" t="s">
        <v>437</v>
      </c>
      <c r="J460" s="41" t="s">
        <v>438</v>
      </c>
      <c r="K460" s="41" t="s">
        <v>439</v>
      </c>
      <c r="L460" s="39"/>
      <c r="M460" s="39"/>
    </row>
    <row r="461" spans="1:13">
      <c r="A461" s="39"/>
      <c r="B461" s="39"/>
      <c r="C461" s="39"/>
      <c r="D461" s="42"/>
      <c r="E461" s="43"/>
      <c r="F461" s="44">
        <v>2</v>
      </c>
      <c r="G461" s="45">
        <v>26</v>
      </c>
      <c r="H461" s="45">
        <v>1.05</v>
      </c>
      <c r="I461" s="45"/>
      <c r="J461" s="46">
        <f>ROUND(F461*G461*H461,3)</f>
        <v>54.6</v>
      </c>
      <c r="K461" s="47">
        <f>SUM(J461:J461)</f>
        <v>54.6</v>
      </c>
      <c r="L461" s="39"/>
      <c r="M461" s="39"/>
    </row>
    <row r="462" spans="1:13" ht="22.5">
      <c r="A462" s="35" t="s">
        <v>572</v>
      </c>
      <c r="B462" s="35" t="s">
        <v>451</v>
      </c>
      <c r="C462" s="35" t="s">
        <v>422</v>
      </c>
      <c r="D462" s="36" t="s">
        <v>573</v>
      </c>
      <c r="E462" s="36"/>
      <c r="F462" s="36"/>
      <c r="G462" s="36"/>
      <c r="H462" s="36"/>
      <c r="I462" s="36"/>
      <c r="J462" s="36"/>
      <c r="K462" s="37">
        <v>1</v>
      </c>
      <c r="L462" s="37">
        <f>ROUND(0.48,3)</f>
        <v>0.48</v>
      </c>
      <c r="M462" s="38">
        <f t="shared" ref="M462:M467" si="17">ROUND(K462*L462,2)</f>
        <v>0.48</v>
      </c>
    </row>
    <row r="463" spans="1:13" ht="33.75">
      <c r="A463" s="35" t="s">
        <v>574</v>
      </c>
      <c r="B463" s="35" t="s">
        <v>451</v>
      </c>
      <c r="C463" s="35" t="s">
        <v>56</v>
      </c>
      <c r="D463" s="36" t="s">
        <v>575</v>
      </c>
      <c r="E463" s="36"/>
      <c r="F463" s="36"/>
      <c r="G463" s="36"/>
      <c r="H463" s="36"/>
      <c r="I463" s="36"/>
      <c r="J463" s="36"/>
      <c r="K463" s="37">
        <v>1</v>
      </c>
      <c r="L463" s="37">
        <f>ROUND(11.58,3)</f>
        <v>11.58</v>
      </c>
      <c r="M463" s="38">
        <f t="shared" si="17"/>
        <v>11.58</v>
      </c>
    </row>
    <row r="464" spans="1:13" ht="22.5">
      <c r="A464" s="35" t="s">
        <v>576</v>
      </c>
      <c r="B464" s="35" t="s">
        <v>451</v>
      </c>
      <c r="C464" s="35" t="s">
        <v>56</v>
      </c>
      <c r="D464" s="36" t="s">
        <v>577</v>
      </c>
      <c r="E464" s="36"/>
      <c r="F464" s="36"/>
      <c r="G464" s="36"/>
      <c r="H464" s="36"/>
      <c r="I464" s="36"/>
      <c r="J464" s="36"/>
      <c r="K464" s="37">
        <v>1</v>
      </c>
      <c r="L464" s="37">
        <f>ROUND(13.13,3)</f>
        <v>13.13</v>
      </c>
      <c r="M464" s="38">
        <f t="shared" si="17"/>
        <v>13.13</v>
      </c>
    </row>
    <row r="465" spans="1:13">
      <c r="A465" s="35" t="s">
        <v>515</v>
      </c>
      <c r="B465" s="35" t="s">
        <v>451</v>
      </c>
      <c r="C465" s="35" t="s">
        <v>516</v>
      </c>
      <c r="D465" s="36" t="s">
        <v>517</v>
      </c>
      <c r="E465" s="36"/>
      <c r="F465" s="36"/>
      <c r="G465" s="36"/>
      <c r="H465" s="36"/>
      <c r="I465" s="36"/>
      <c r="J465" s="36"/>
      <c r="K465" s="37">
        <v>6.7000000000000004E-2</v>
      </c>
      <c r="L465" s="37">
        <f>ROUND(9.601,3)</f>
        <v>9.6010000000000009</v>
      </c>
      <c r="M465" s="38">
        <f t="shared" si="17"/>
        <v>0.64</v>
      </c>
    </row>
    <row r="466" spans="1:13">
      <c r="A466" s="35" t="s">
        <v>454</v>
      </c>
      <c r="B466" s="35" t="s">
        <v>455</v>
      </c>
      <c r="C466" s="35" t="s">
        <v>456</v>
      </c>
      <c r="D466" s="36" t="s">
        <v>457</v>
      </c>
      <c r="E466" s="36"/>
      <c r="F466" s="36"/>
      <c r="G466" s="36"/>
      <c r="H466" s="36"/>
      <c r="I466" s="36"/>
      <c r="J466" s="36"/>
      <c r="K466" s="37">
        <v>0.13200000000000001</v>
      </c>
      <c r="L466" s="37">
        <f>ROUND(17.82,3)</f>
        <v>17.82</v>
      </c>
      <c r="M466" s="38">
        <f t="shared" si="17"/>
        <v>2.35</v>
      </c>
    </row>
    <row r="467" spans="1:13">
      <c r="A467" s="35" t="s">
        <v>458</v>
      </c>
      <c r="B467" s="35" t="s">
        <v>455</v>
      </c>
      <c r="C467" s="35" t="s">
        <v>456</v>
      </c>
      <c r="D467" s="36" t="s">
        <v>459</v>
      </c>
      <c r="E467" s="36"/>
      <c r="F467" s="36"/>
      <c r="G467" s="36"/>
      <c r="H467" s="36"/>
      <c r="I467" s="36"/>
      <c r="J467" s="36"/>
      <c r="K467" s="37">
        <v>0.13200000000000001</v>
      </c>
      <c r="L467" s="37">
        <f>ROUND(16.1,3)</f>
        <v>16.100000000000001</v>
      </c>
      <c r="M467" s="38">
        <f t="shared" si="17"/>
        <v>2.13</v>
      </c>
    </row>
    <row r="468" spans="1:13">
      <c r="A468" s="35" t="s">
        <v>460</v>
      </c>
      <c r="B468" s="35"/>
      <c r="C468" s="35" t="s">
        <v>460</v>
      </c>
      <c r="D468" s="36" t="s">
        <v>461</v>
      </c>
      <c r="E468" s="36"/>
      <c r="F468" s="36"/>
      <c r="G468" s="36"/>
      <c r="H468" s="36"/>
      <c r="I468" s="36"/>
      <c r="J468" s="36"/>
      <c r="K468" s="37">
        <v>2</v>
      </c>
      <c r="L468" s="37">
        <f>ROUND(30.31,3)</f>
        <v>30.31</v>
      </c>
      <c r="M468" s="38">
        <f>ROUND((K468*L468)/100,2)</f>
        <v>0.61</v>
      </c>
    </row>
    <row r="469" spans="1:13">
      <c r="A469" s="52"/>
      <c r="B469" s="52"/>
      <c r="C469" s="52"/>
      <c r="D469" s="53" t="s">
        <v>643</v>
      </c>
      <c r="E469" s="52"/>
      <c r="F469" s="52"/>
      <c r="G469" s="52"/>
      <c r="H469" s="52"/>
      <c r="I469" s="52"/>
      <c r="J469" s="52"/>
      <c r="K469" s="54">
        <v>54.6</v>
      </c>
      <c r="L469" s="55">
        <f>ROUND((M462+M463+M464+M465+M466+M467+M468)*(1+M2/100),2)</f>
        <v>31.85</v>
      </c>
      <c r="M469" s="55">
        <f>ROUND(K469*L469,2)</f>
        <v>1739.01</v>
      </c>
    </row>
    <row r="470" spans="1:13">
      <c r="A470" s="56" t="s">
        <v>479</v>
      </c>
      <c r="B470" s="57" t="s">
        <v>431</v>
      </c>
      <c r="C470" s="57" t="s">
        <v>422</v>
      </c>
      <c r="D470" s="58" t="s">
        <v>579</v>
      </c>
      <c r="E470" s="58"/>
      <c r="F470" s="58"/>
      <c r="G470" s="58"/>
      <c r="H470" s="58"/>
      <c r="I470" s="58"/>
      <c r="J470" s="58"/>
      <c r="K470" s="59">
        <f>SUM(K473:K473)</f>
        <v>8</v>
      </c>
      <c r="L470" s="60">
        <f>L479</f>
        <v>26.8</v>
      </c>
      <c r="M470" s="60">
        <f>ROUND(K470*L470,2)</f>
        <v>214.4</v>
      </c>
    </row>
    <row r="471" spans="1:13" ht="56.25">
      <c r="A471" s="39"/>
      <c r="B471" s="39"/>
      <c r="C471" s="39"/>
      <c r="D471" s="36" t="s">
        <v>580</v>
      </c>
      <c r="E471" s="36"/>
      <c r="F471" s="36"/>
      <c r="G471" s="36"/>
      <c r="H471" s="36"/>
      <c r="I471" s="36"/>
      <c r="J471" s="36"/>
      <c r="K471" s="36"/>
      <c r="L471" s="36"/>
      <c r="M471" s="36"/>
    </row>
    <row r="472" spans="1:13">
      <c r="A472" s="39"/>
      <c r="B472" s="39"/>
      <c r="C472" s="39"/>
      <c r="D472" s="39"/>
      <c r="E472" s="40"/>
      <c r="F472" s="41" t="s">
        <v>434</v>
      </c>
      <c r="G472" s="41" t="s">
        <v>435</v>
      </c>
      <c r="H472" s="41" t="s">
        <v>436</v>
      </c>
      <c r="I472" s="41" t="s">
        <v>437</v>
      </c>
      <c r="J472" s="41" t="s">
        <v>438</v>
      </c>
      <c r="K472" s="41" t="s">
        <v>439</v>
      </c>
      <c r="L472" s="39"/>
      <c r="M472" s="39"/>
    </row>
    <row r="473" spans="1:13">
      <c r="A473" s="39"/>
      <c r="B473" s="39"/>
      <c r="C473" s="39"/>
      <c r="D473" s="42"/>
      <c r="E473" s="43" t="s">
        <v>1033</v>
      </c>
      <c r="F473" s="44">
        <v>4</v>
      </c>
      <c r="G473" s="45">
        <v>2</v>
      </c>
      <c r="H473" s="45"/>
      <c r="I473" s="45"/>
      <c r="J473" s="46">
        <f>ROUND(F473*G473,3)</f>
        <v>8</v>
      </c>
      <c r="K473" s="47">
        <f>SUM(J473:J473)</f>
        <v>8</v>
      </c>
      <c r="L473" s="39"/>
      <c r="M473" s="39"/>
    </row>
    <row r="474" spans="1:13">
      <c r="A474" s="35" t="s">
        <v>583</v>
      </c>
      <c r="B474" s="35" t="s">
        <v>451</v>
      </c>
      <c r="C474" s="35" t="s">
        <v>422</v>
      </c>
      <c r="D474" s="36" t="s">
        <v>579</v>
      </c>
      <c r="E474" s="36"/>
      <c r="F474" s="36"/>
      <c r="G474" s="36"/>
      <c r="H474" s="36"/>
      <c r="I474" s="36"/>
      <c r="J474" s="36"/>
      <c r="K474" s="37">
        <v>1</v>
      </c>
      <c r="L474" s="37">
        <f>ROUND(21.57,3)</f>
        <v>21.57</v>
      </c>
      <c r="M474" s="38">
        <f>ROUND(K474*L474,2)</f>
        <v>21.57</v>
      </c>
    </row>
    <row r="475" spans="1:13" ht="22.5">
      <c r="A475" s="35" t="s">
        <v>452</v>
      </c>
      <c r="B475" s="35" t="s">
        <v>451</v>
      </c>
      <c r="C475" s="35" t="s">
        <v>422</v>
      </c>
      <c r="D475" s="36" t="s">
        <v>453</v>
      </c>
      <c r="E475" s="36"/>
      <c r="F475" s="36"/>
      <c r="G475" s="36"/>
      <c r="H475" s="36"/>
      <c r="I475" s="36"/>
      <c r="J475" s="36"/>
      <c r="K475" s="37">
        <v>0.1</v>
      </c>
      <c r="L475" s="37">
        <f>ROUND(2.1,3)</f>
        <v>2.1</v>
      </c>
      <c r="M475" s="38">
        <f>ROUND(K475*L475,2)</f>
        <v>0.21</v>
      </c>
    </row>
    <row r="476" spans="1:13">
      <c r="A476" s="35" t="s">
        <v>454</v>
      </c>
      <c r="B476" s="35" t="s">
        <v>455</v>
      </c>
      <c r="C476" s="35" t="s">
        <v>456</v>
      </c>
      <c r="D476" s="36" t="s">
        <v>457</v>
      </c>
      <c r="E476" s="36"/>
      <c r="F476" s="36"/>
      <c r="G476" s="36"/>
      <c r="H476" s="36"/>
      <c r="I476" s="36"/>
      <c r="J476" s="36"/>
      <c r="K476" s="37">
        <v>0.11</v>
      </c>
      <c r="L476" s="37">
        <f>ROUND(17.82,3)</f>
        <v>17.82</v>
      </c>
      <c r="M476" s="38">
        <f>ROUND(K476*L476,2)</f>
        <v>1.96</v>
      </c>
    </row>
    <row r="477" spans="1:13">
      <c r="A477" s="35" t="s">
        <v>458</v>
      </c>
      <c r="B477" s="35" t="s">
        <v>455</v>
      </c>
      <c r="C477" s="35" t="s">
        <v>456</v>
      </c>
      <c r="D477" s="36" t="s">
        <v>459</v>
      </c>
      <c r="E477" s="36"/>
      <c r="F477" s="36"/>
      <c r="G477" s="36"/>
      <c r="H477" s="36"/>
      <c r="I477" s="36"/>
      <c r="J477" s="36"/>
      <c r="K477" s="37">
        <v>0.11</v>
      </c>
      <c r="L477" s="37">
        <f>ROUND(16.1,3)</f>
        <v>16.100000000000001</v>
      </c>
      <c r="M477" s="38">
        <f>ROUND(K477*L477,2)</f>
        <v>1.77</v>
      </c>
    </row>
    <row r="478" spans="1:13">
      <c r="A478" s="35" t="s">
        <v>460</v>
      </c>
      <c r="B478" s="35"/>
      <c r="C478" s="35" t="s">
        <v>460</v>
      </c>
      <c r="D478" s="36" t="s">
        <v>461</v>
      </c>
      <c r="E478" s="36"/>
      <c r="F478" s="36"/>
      <c r="G478" s="36"/>
      <c r="H478" s="36"/>
      <c r="I478" s="36"/>
      <c r="J478" s="36"/>
      <c r="K478" s="37">
        <v>2</v>
      </c>
      <c r="L478" s="37">
        <f>ROUND(25.51,3)</f>
        <v>25.51</v>
      </c>
      <c r="M478" s="38">
        <f>ROUND((K478*L478)/100,2)</f>
        <v>0.51</v>
      </c>
    </row>
    <row r="479" spans="1:13">
      <c r="A479" s="52"/>
      <c r="B479" s="52"/>
      <c r="C479" s="52"/>
      <c r="D479" s="53" t="s">
        <v>479</v>
      </c>
      <c r="E479" s="52"/>
      <c r="F479" s="52"/>
      <c r="G479" s="52"/>
      <c r="H479" s="52"/>
      <c r="I479" s="52"/>
      <c r="J479" s="52"/>
      <c r="K479" s="54">
        <v>8</v>
      </c>
      <c r="L479" s="55">
        <f>ROUND((M474+M475+M476+M477+M478)*(1+M2/100),2)</f>
        <v>26.8</v>
      </c>
      <c r="M479" s="55">
        <f>ROUND(K479*L479,2)</f>
        <v>214.4</v>
      </c>
    </row>
    <row r="480" spans="1:13" ht="33.75">
      <c r="A480" s="56" t="s">
        <v>1051</v>
      </c>
      <c r="B480" s="57" t="s">
        <v>431</v>
      </c>
      <c r="C480" s="57" t="s">
        <v>56</v>
      </c>
      <c r="D480" s="58" t="s">
        <v>1036</v>
      </c>
      <c r="E480" s="58"/>
      <c r="F480" s="58"/>
      <c r="G480" s="58"/>
      <c r="H480" s="58"/>
      <c r="I480" s="58"/>
      <c r="J480" s="58"/>
      <c r="K480" s="59">
        <f>ROUND(48.3,2)</f>
        <v>48.3</v>
      </c>
      <c r="L480" s="60">
        <f>L487</f>
        <v>39.270000000000003</v>
      </c>
      <c r="M480" s="60">
        <f>ROUND(K480*L480,2)</f>
        <v>1896.74</v>
      </c>
    </row>
    <row r="481" spans="1:13" ht="67.5">
      <c r="A481" s="39"/>
      <c r="B481" s="39"/>
      <c r="C481" s="39"/>
      <c r="D481" s="36" t="s">
        <v>1037</v>
      </c>
      <c r="E481" s="36"/>
      <c r="F481" s="36"/>
      <c r="G481" s="36"/>
      <c r="H481" s="36"/>
      <c r="I481" s="36"/>
      <c r="J481" s="36"/>
      <c r="K481" s="36"/>
      <c r="L481" s="36"/>
      <c r="M481" s="36"/>
    </row>
    <row r="482" spans="1:13" ht="22.5">
      <c r="A482" s="35" t="s">
        <v>1038</v>
      </c>
      <c r="B482" s="35" t="s">
        <v>451</v>
      </c>
      <c r="C482" s="35" t="s">
        <v>56</v>
      </c>
      <c r="D482" s="36" t="s">
        <v>1039</v>
      </c>
      <c r="E482" s="36"/>
      <c r="F482" s="36"/>
      <c r="G482" s="36"/>
      <c r="H482" s="36"/>
      <c r="I482" s="36"/>
      <c r="J482" s="36"/>
      <c r="K482" s="37">
        <v>1.05</v>
      </c>
      <c r="L482" s="37">
        <f>ROUND(30.88,3)</f>
        <v>30.88</v>
      </c>
      <c r="M482" s="38">
        <f>ROUND(K482*L482,2)</f>
        <v>32.42</v>
      </c>
    </row>
    <row r="483" spans="1:13">
      <c r="A483" s="35" t="s">
        <v>515</v>
      </c>
      <c r="B483" s="35" t="s">
        <v>451</v>
      </c>
      <c r="C483" s="35" t="s">
        <v>516</v>
      </c>
      <c r="D483" s="36" t="s">
        <v>517</v>
      </c>
      <c r="E483" s="36"/>
      <c r="F483" s="36"/>
      <c r="G483" s="36"/>
      <c r="H483" s="36"/>
      <c r="I483" s="36"/>
      <c r="J483" s="36"/>
      <c r="K483" s="37">
        <v>4.2000000000000003E-2</v>
      </c>
      <c r="L483" s="37">
        <f>ROUND(9.601,3)</f>
        <v>9.6010000000000009</v>
      </c>
      <c r="M483" s="38">
        <f>ROUND(K483*L483,2)</f>
        <v>0.4</v>
      </c>
    </row>
    <row r="484" spans="1:13">
      <c r="A484" s="35" t="s">
        <v>603</v>
      </c>
      <c r="B484" s="35" t="s">
        <v>455</v>
      </c>
      <c r="C484" s="35" t="s">
        <v>456</v>
      </c>
      <c r="D484" s="36" t="s">
        <v>604</v>
      </c>
      <c r="E484" s="36"/>
      <c r="F484" s="36"/>
      <c r="G484" s="36"/>
      <c r="H484" s="36"/>
      <c r="I484" s="36"/>
      <c r="J484" s="36"/>
      <c r="K484" s="37">
        <v>0.121</v>
      </c>
      <c r="L484" s="37">
        <f>ROUND(20.33,3)</f>
        <v>20.329999999999998</v>
      </c>
      <c r="M484" s="38">
        <f>ROUND(K484*L484,2)</f>
        <v>2.46</v>
      </c>
    </row>
    <row r="485" spans="1:13">
      <c r="A485" s="35" t="s">
        <v>605</v>
      </c>
      <c r="B485" s="35" t="s">
        <v>455</v>
      </c>
      <c r="C485" s="35" t="s">
        <v>456</v>
      </c>
      <c r="D485" s="36" t="s">
        <v>606</v>
      </c>
      <c r="E485" s="36"/>
      <c r="F485" s="36"/>
      <c r="G485" s="36"/>
      <c r="H485" s="36"/>
      <c r="I485" s="36"/>
      <c r="J485" s="36"/>
      <c r="K485" s="37">
        <v>0.121</v>
      </c>
      <c r="L485" s="37">
        <f>ROUND(17.34,3)</f>
        <v>17.34</v>
      </c>
      <c r="M485" s="38">
        <f>ROUND(K485*L485,2)</f>
        <v>2.1</v>
      </c>
    </row>
    <row r="486" spans="1:13">
      <c r="A486" s="35" t="s">
        <v>460</v>
      </c>
      <c r="B486" s="35"/>
      <c r="C486" s="35" t="s">
        <v>460</v>
      </c>
      <c r="D486" s="36" t="s">
        <v>461</v>
      </c>
      <c r="E486" s="36"/>
      <c r="F486" s="36"/>
      <c r="G486" s="36"/>
      <c r="H486" s="36"/>
      <c r="I486" s="36"/>
      <c r="J486" s="36"/>
      <c r="K486" s="37">
        <v>2</v>
      </c>
      <c r="L486" s="37">
        <f>ROUND(37.38,3)</f>
        <v>37.380000000000003</v>
      </c>
      <c r="M486" s="38">
        <f>ROUND((K486*L486)/100,2)</f>
        <v>0.75</v>
      </c>
    </row>
    <row r="487" spans="1:13">
      <c r="A487" s="52"/>
      <c r="B487" s="52"/>
      <c r="C487" s="52"/>
      <c r="D487" s="53" t="s">
        <v>1051</v>
      </c>
      <c r="E487" s="52"/>
      <c r="F487" s="52"/>
      <c r="G487" s="52"/>
      <c r="H487" s="52"/>
      <c r="I487" s="52"/>
      <c r="J487" s="52"/>
      <c r="K487" s="54">
        <v>48.3</v>
      </c>
      <c r="L487" s="55">
        <f>ROUND((M482+M483+M484+M485+M486)*(1+M2/100),2)</f>
        <v>39.270000000000003</v>
      </c>
      <c r="M487" s="55">
        <f>ROUND(K487*L487,2)</f>
        <v>1896.74</v>
      </c>
    </row>
    <row r="488" spans="1:13" ht="33.75">
      <c r="A488" s="56" t="s">
        <v>656</v>
      </c>
      <c r="B488" s="57" t="s">
        <v>431</v>
      </c>
      <c r="C488" s="57" t="s">
        <v>56</v>
      </c>
      <c r="D488" s="58" t="s">
        <v>1041</v>
      </c>
      <c r="E488" s="58"/>
      <c r="F488" s="58"/>
      <c r="G488" s="58"/>
      <c r="H488" s="58"/>
      <c r="I488" s="58"/>
      <c r="J488" s="58"/>
      <c r="K488" s="59">
        <f>ROUND(54.6,2)</f>
        <v>54.6</v>
      </c>
      <c r="L488" s="60">
        <f>L495</f>
        <v>41.97</v>
      </c>
      <c r="M488" s="60">
        <f>ROUND(K488*L488,2)</f>
        <v>2291.56</v>
      </c>
    </row>
    <row r="489" spans="1:13" ht="67.5">
      <c r="A489" s="39"/>
      <c r="B489" s="39"/>
      <c r="C489" s="39"/>
      <c r="D489" s="36" t="s">
        <v>1042</v>
      </c>
      <c r="E489" s="36"/>
      <c r="F489" s="36"/>
      <c r="G489" s="36"/>
      <c r="H489" s="36"/>
      <c r="I489" s="36"/>
      <c r="J489" s="36"/>
      <c r="K489" s="36"/>
      <c r="L489" s="36"/>
      <c r="M489" s="36"/>
    </row>
    <row r="490" spans="1:13" ht="22.5">
      <c r="A490" s="35" t="s">
        <v>601</v>
      </c>
      <c r="B490" s="35" t="s">
        <v>451</v>
      </c>
      <c r="C490" s="35" t="s">
        <v>56</v>
      </c>
      <c r="D490" s="36" t="s">
        <v>602</v>
      </c>
      <c r="E490" s="36"/>
      <c r="F490" s="36"/>
      <c r="G490" s="36"/>
      <c r="H490" s="36"/>
      <c r="I490" s="36"/>
      <c r="J490" s="36"/>
      <c r="K490" s="37">
        <v>1.05</v>
      </c>
      <c r="L490" s="37">
        <f>ROUND(33.08,3)</f>
        <v>33.08</v>
      </c>
      <c r="M490" s="38">
        <f>ROUND(K490*L490,2)</f>
        <v>34.729999999999997</v>
      </c>
    </row>
    <row r="491" spans="1:13">
      <c r="A491" s="35" t="s">
        <v>515</v>
      </c>
      <c r="B491" s="35" t="s">
        <v>451</v>
      </c>
      <c r="C491" s="35" t="s">
        <v>516</v>
      </c>
      <c r="D491" s="36" t="s">
        <v>517</v>
      </c>
      <c r="E491" s="36"/>
      <c r="F491" s="36"/>
      <c r="G491" s="36"/>
      <c r="H491" s="36"/>
      <c r="I491" s="36"/>
      <c r="J491" s="36"/>
      <c r="K491" s="37">
        <v>0.05</v>
      </c>
      <c r="L491" s="37">
        <f>ROUND(9.601,3)</f>
        <v>9.6010000000000009</v>
      </c>
      <c r="M491" s="38">
        <f>ROUND(K491*L491,2)</f>
        <v>0.48</v>
      </c>
    </row>
    <row r="492" spans="1:13">
      <c r="A492" s="35" t="s">
        <v>603</v>
      </c>
      <c r="B492" s="35" t="s">
        <v>455</v>
      </c>
      <c r="C492" s="35" t="s">
        <v>456</v>
      </c>
      <c r="D492" s="36" t="s">
        <v>604</v>
      </c>
      <c r="E492" s="36"/>
      <c r="F492" s="36"/>
      <c r="G492" s="36"/>
      <c r="H492" s="36"/>
      <c r="I492" s="36"/>
      <c r="J492" s="36"/>
      <c r="K492" s="37">
        <v>0.126</v>
      </c>
      <c r="L492" s="37">
        <f>ROUND(20.33,3)</f>
        <v>20.329999999999998</v>
      </c>
      <c r="M492" s="38">
        <f>ROUND(K492*L492,2)</f>
        <v>2.56</v>
      </c>
    </row>
    <row r="493" spans="1:13">
      <c r="A493" s="35" t="s">
        <v>605</v>
      </c>
      <c r="B493" s="35" t="s">
        <v>455</v>
      </c>
      <c r="C493" s="35" t="s">
        <v>456</v>
      </c>
      <c r="D493" s="36" t="s">
        <v>606</v>
      </c>
      <c r="E493" s="36"/>
      <c r="F493" s="36"/>
      <c r="G493" s="36"/>
      <c r="H493" s="36"/>
      <c r="I493" s="36"/>
      <c r="J493" s="36"/>
      <c r="K493" s="37">
        <v>0.126</v>
      </c>
      <c r="L493" s="37">
        <f>ROUND(17.34,3)</f>
        <v>17.34</v>
      </c>
      <c r="M493" s="38">
        <f>ROUND(K493*L493,2)</f>
        <v>2.1800000000000002</v>
      </c>
    </row>
    <row r="494" spans="1:13">
      <c r="A494" s="35" t="s">
        <v>460</v>
      </c>
      <c r="B494" s="35"/>
      <c r="C494" s="35" t="s">
        <v>460</v>
      </c>
      <c r="D494" s="36" t="s">
        <v>461</v>
      </c>
      <c r="E494" s="36"/>
      <c r="F494" s="36"/>
      <c r="G494" s="36"/>
      <c r="H494" s="36"/>
      <c r="I494" s="36"/>
      <c r="J494" s="36"/>
      <c r="K494" s="37">
        <v>2</v>
      </c>
      <c r="L494" s="37">
        <f>ROUND(39.95,3)</f>
        <v>39.950000000000003</v>
      </c>
      <c r="M494" s="38">
        <f>ROUND((K494*L494)/100,2)</f>
        <v>0.8</v>
      </c>
    </row>
    <row r="495" spans="1:13">
      <c r="A495" s="52"/>
      <c r="B495" s="52"/>
      <c r="C495" s="52"/>
      <c r="D495" s="53" t="s">
        <v>656</v>
      </c>
      <c r="E495" s="52"/>
      <c r="F495" s="52"/>
      <c r="G495" s="52"/>
      <c r="H495" s="52"/>
      <c r="I495" s="52"/>
      <c r="J495" s="52"/>
      <c r="K495" s="54">
        <v>54.6</v>
      </c>
      <c r="L495" s="55">
        <f>ROUND((M490+M491+M492+M493+M494)*(1+M2/100),2)</f>
        <v>41.97</v>
      </c>
      <c r="M495" s="55">
        <f>ROUND(K495*L495,2)</f>
        <v>2291.56</v>
      </c>
    </row>
    <row r="496" spans="1:13">
      <c r="A496" s="79"/>
      <c r="B496" s="79"/>
      <c r="C496" s="79"/>
      <c r="D496" s="80" t="s">
        <v>651</v>
      </c>
      <c r="E496" s="81"/>
      <c r="F496" s="81"/>
      <c r="G496" s="81"/>
      <c r="H496" s="81"/>
      <c r="I496" s="81"/>
      <c r="J496" s="81"/>
      <c r="K496" s="81"/>
      <c r="L496" s="82">
        <f>M381+M393+M403+M414+M419+M429+M438+M444+M446+M458+M470+M480+M488</f>
        <v>22279.650000000005</v>
      </c>
      <c r="M496" s="82">
        <f>ROUND(L496,2)</f>
        <v>22279.65</v>
      </c>
    </row>
    <row r="497" spans="1:13">
      <c r="A497" s="75" t="s">
        <v>1052</v>
      </c>
      <c r="B497" s="75" t="s">
        <v>428</v>
      </c>
      <c r="C497" s="76"/>
      <c r="D497" s="77" t="s">
        <v>1053</v>
      </c>
      <c r="E497" s="77"/>
      <c r="F497" s="77"/>
      <c r="G497" s="77"/>
      <c r="H497" s="77"/>
      <c r="I497" s="77"/>
      <c r="J497" s="77"/>
      <c r="K497" s="76"/>
      <c r="L497" s="78">
        <f>L570</f>
        <v>28834.920000000002</v>
      </c>
      <c r="M497" s="78">
        <f>ROUND(L497,2)</f>
        <v>28834.92</v>
      </c>
    </row>
    <row r="498" spans="1:13" ht="33.75">
      <c r="A498" s="34" t="s">
        <v>1054</v>
      </c>
      <c r="B498" s="35" t="s">
        <v>431</v>
      </c>
      <c r="C498" s="35" t="s">
        <v>56</v>
      </c>
      <c r="D498" s="36" t="s">
        <v>569</v>
      </c>
      <c r="E498" s="36"/>
      <c r="F498" s="36"/>
      <c r="G498" s="36"/>
      <c r="H498" s="36"/>
      <c r="I498" s="36"/>
      <c r="J498" s="36"/>
      <c r="K498" s="37">
        <f>SUM(K501:K501)</f>
        <v>137.76</v>
      </c>
      <c r="L498" s="38">
        <f>L509</f>
        <v>31.85</v>
      </c>
      <c r="M498" s="38">
        <f>ROUND(K498*L498,2)</f>
        <v>4387.66</v>
      </c>
    </row>
    <row r="499" spans="1:13" ht="112.5">
      <c r="A499" s="39"/>
      <c r="B499" s="39"/>
      <c r="C499" s="39"/>
      <c r="D499" s="36" t="s">
        <v>570</v>
      </c>
      <c r="E499" s="36"/>
      <c r="F499" s="36"/>
      <c r="G499" s="36"/>
      <c r="H499" s="36"/>
      <c r="I499" s="36"/>
      <c r="J499" s="36"/>
      <c r="K499" s="36"/>
      <c r="L499" s="36"/>
      <c r="M499" s="36"/>
    </row>
    <row r="500" spans="1:13">
      <c r="A500" s="39"/>
      <c r="B500" s="39"/>
      <c r="C500" s="39"/>
      <c r="D500" s="39"/>
      <c r="E500" s="40"/>
      <c r="F500" s="41" t="s">
        <v>434</v>
      </c>
      <c r="G500" s="41" t="s">
        <v>435</v>
      </c>
      <c r="H500" s="41" t="s">
        <v>436</v>
      </c>
      <c r="I500" s="41" t="s">
        <v>437</v>
      </c>
      <c r="J500" s="41" t="s">
        <v>438</v>
      </c>
      <c r="K500" s="41" t="s">
        <v>439</v>
      </c>
      <c r="L500" s="39"/>
      <c r="M500" s="39"/>
    </row>
    <row r="501" spans="1:13">
      <c r="A501" s="39"/>
      <c r="B501" s="39"/>
      <c r="C501" s="39"/>
      <c r="D501" s="42"/>
      <c r="E501" s="43"/>
      <c r="F501" s="44">
        <v>2</v>
      </c>
      <c r="G501" s="45">
        <v>65.599999999999994</v>
      </c>
      <c r="H501" s="45">
        <v>1.05</v>
      </c>
      <c r="I501" s="45"/>
      <c r="J501" s="46">
        <f>ROUND(F501*G501*H501,3)</f>
        <v>137.76</v>
      </c>
      <c r="K501" s="47">
        <f>SUM(J501:J501)</f>
        <v>137.76</v>
      </c>
      <c r="L501" s="39"/>
      <c r="M501" s="39"/>
    </row>
    <row r="502" spans="1:13" ht="22.5">
      <c r="A502" s="35" t="s">
        <v>572</v>
      </c>
      <c r="B502" s="35" t="s">
        <v>451</v>
      </c>
      <c r="C502" s="35" t="s">
        <v>422</v>
      </c>
      <c r="D502" s="36" t="s">
        <v>573</v>
      </c>
      <c r="E502" s="36"/>
      <c r="F502" s="36"/>
      <c r="G502" s="36"/>
      <c r="H502" s="36"/>
      <c r="I502" s="36"/>
      <c r="J502" s="36"/>
      <c r="K502" s="37">
        <v>1</v>
      </c>
      <c r="L502" s="37">
        <f>ROUND(0.48,3)</f>
        <v>0.48</v>
      </c>
      <c r="M502" s="38">
        <f t="shared" ref="M502:M507" si="18">ROUND(K502*L502,2)</f>
        <v>0.48</v>
      </c>
    </row>
    <row r="503" spans="1:13" ht="33.75">
      <c r="A503" s="35" t="s">
        <v>574</v>
      </c>
      <c r="B503" s="35" t="s">
        <v>451</v>
      </c>
      <c r="C503" s="35" t="s">
        <v>56</v>
      </c>
      <c r="D503" s="36" t="s">
        <v>575</v>
      </c>
      <c r="E503" s="36"/>
      <c r="F503" s="36"/>
      <c r="G503" s="36"/>
      <c r="H503" s="36"/>
      <c r="I503" s="36"/>
      <c r="J503" s="36"/>
      <c r="K503" s="37">
        <v>1</v>
      </c>
      <c r="L503" s="37">
        <f>ROUND(11.58,3)</f>
        <v>11.58</v>
      </c>
      <c r="M503" s="38">
        <f t="shared" si="18"/>
        <v>11.58</v>
      </c>
    </row>
    <row r="504" spans="1:13" ht="22.5">
      <c r="A504" s="35" t="s">
        <v>576</v>
      </c>
      <c r="B504" s="35" t="s">
        <v>451</v>
      </c>
      <c r="C504" s="35" t="s">
        <v>56</v>
      </c>
      <c r="D504" s="36" t="s">
        <v>577</v>
      </c>
      <c r="E504" s="36"/>
      <c r="F504" s="36"/>
      <c r="G504" s="36"/>
      <c r="H504" s="36"/>
      <c r="I504" s="36"/>
      <c r="J504" s="36"/>
      <c r="K504" s="37">
        <v>1</v>
      </c>
      <c r="L504" s="37">
        <f>ROUND(13.13,3)</f>
        <v>13.13</v>
      </c>
      <c r="M504" s="38">
        <f t="shared" si="18"/>
        <v>13.13</v>
      </c>
    </row>
    <row r="505" spans="1:13">
      <c r="A505" s="35" t="s">
        <v>515</v>
      </c>
      <c r="B505" s="35" t="s">
        <v>451</v>
      </c>
      <c r="C505" s="35" t="s">
        <v>516</v>
      </c>
      <c r="D505" s="36" t="s">
        <v>517</v>
      </c>
      <c r="E505" s="36"/>
      <c r="F505" s="36"/>
      <c r="G505" s="36"/>
      <c r="H505" s="36"/>
      <c r="I505" s="36"/>
      <c r="J505" s="36"/>
      <c r="K505" s="37">
        <v>6.7000000000000004E-2</v>
      </c>
      <c r="L505" s="37">
        <f>ROUND(9.601,3)</f>
        <v>9.6010000000000009</v>
      </c>
      <c r="M505" s="38">
        <f t="shared" si="18"/>
        <v>0.64</v>
      </c>
    </row>
    <row r="506" spans="1:13">
      <c r="A506" s="35" t="s">
        <v>454</v>
      </c>
      <c r="B506" s="35" t="s">
        <v>455</v>
      </c>
      <c r="C506" s="35" t="s">
        <v>456</v>
      </c>
      <c r="D506" s="36" t="s">
        <v>457</v>
      </c>
      <c r="E506" s="36"/>
      <c r="F506" s="36"/>
      <c r="G506" s="36"/>
      <c r="H506" s="36"/>
      <c r="I506" s="36"/>
      <c r="J506" s="36"/>
      <c r="K506" s="37">
        <v>0.13200000000000001</v>
      </c>
      <c r="L506" s="37">
        <f>ROUND(17.82,3)</f>
        <v>17.82</v>
      </c>
      <c r="M506" s="38">
        <f t="shared" si="18"/>
        <v>2.35</v>
      </c>
    </row>
    <row r="507" spans="1:13">
      <c r="A507" s="35" t="s">
        <v>458</v>
      </c>
      <c r="B507" s="35" t="s">
        <v>455</v>
      </c>
      <c r="C507" s="35" t="s">
        <v>456</v>
      </c>
      <c r="D507" s="36" t="s">
        <v>459</v>
      </c>
      <c r="E507" s="36"/>
      <c r="F507" s="36"/>
      <c r="G507" s="36"/>
      <c r="H507" s="36"/>
      <c r="I507" s="36"/>
      <c r="J507" s="36"/>
      <c r="K507" s="37">
        <v>0.13200000000000001</v>
      </c>
      <c r="L507" s="37">
        <f>ROUND(16.1,3)</f>
        <v>16.100000000000001</v>
      </c>
      <c r="M507" s="38">
        <f t="shared" si="18"/>
        <v>2.13</v>
      </c>
    </row>
    <row r="508" spans="1:13">
      <c r="A508" s="35" t="s">
        <v>460</v>
      </c>
      <c r="B508" s="35"/>
      <c r="C508" s="35" t="s">
        <v>460</v>
      </c>
      <c r="D508" s="36" t="s">
        <v>461</v>
      </c>
      <c r="E508" s="36"/>
      <c r="F508" s="36"/>
      <c r="G508" s="36"/>
      <c r="H508" s="36"/>
      <c r="I508" s="36"/>
      <c r="J508" s="36"/>
      <c r="K508" s="37">
        <v>2</v>
      </c>
      <c r="L508" s="37">
        <f>ROUND(30.31,3)</f>
        <v>30.31</v>
      </c>
      <c r="M508" s="38">
        <f>ROUND((K508*L508)/100,2)</f>
        <v>0.61</v>
      </c>
    </row>
    <row r="509" spans="1:13">
      <c r="A509" s="52"/>
      <c r="B509" s="52"/>
      <c r="C509" s="52"/>
      <c r="D509" s="53" t="s">
        <v>1054</v>
      </c>
      <c r="E509" s="52"/>
      <c r="F509" s="52"/>
      <c r="G509" s="52"/>
      <c r="H509" s="52"/>
      <c r="I509" s="52"/>
      <c r="J509" s="52"/>
      <c r="K509" s="54">
        <v>137.76</v>
      </c>
      <c r="L509" s="55">
        <f>ROUND((M502+M503+M504+M505+M506+M507+M508)*(1+M2/100),2)</f>
        <v>31.85</v>
      </c>
      <c r="M509" s="55">
        <f>ROUND(K509*L509,2)</f>
        <v>4387.66</v>
      </c>
    </row>
    <row r="510" spans="1:13" ht="33.75">
      <c r="A510" s="56" t="s">
        <v>648</v>
      </c>
      <c r="B510" s="57" t="s">
        <v>431</v>
      </c>
      <c r="C510" s="57" t="s">
        <v>56</v>
      </c>
      <c r="D510" s="58" t="s">
        <v>1041</v>
      </c>
      <c r="E510" s="58"/>
      <c r="F510" s="58"/>
      <c r="G510" s="58"/>
      <c r="H510" s="58"/>
      <c r="I510" s="58"/>
      <c r="J510" s="58"/>
      <c r="K510" s="59">
        <f>ROUND(137.76,2)</f>
        <v>137.76</v>
      </c>
      <c r="L510" s="60">
        <f>L517</f>
        <v>41.97</v>
      </c>
      <c r="M510" s="60">
        <f>ROUND(K510*L510,2)</f>
        <v>5781.79</v>
      </c>
    </row>
    <row r="511" spans="1:13" ht="67.5">
      <c r="A511" s="39"/>
      <c r="B511" s="39"/>
      <c r="C511" s="39"/>
      <c r="D511" s="36" t="s">
        <v>1042</v>
      </c>
      <c r="E511" s="36"/>
      <c r="F511" s="36"/>
      <c r="G511" s="36"/>
      <c r="H511" s="36"/>
      <c r="I511" s="36"/>
      <c r="J511" s="36"/>
      <c r="K511" s="36"/>
      <c r="L511" s="36"/>
      <c r="M511" s="36"/>
    </row>
    <row r="512" spans="1:13" ht="22.5">
      <c r="A512" s="35" t="s">
        <v>601</v>
      </c>
      <c r="B512" s="35" t="s">
        <v>451</v>
      </c>
      <c r="C512" s="35" t="s">
        <v>56</v>
      </c>
      <c r="D512" s="36" t="s">
        <v>602</v>
      </c>
      <c r="E512" s="36"/>
      <c r="F512" s="36"/>
      <c r="G512" s="36"/>
      <c r="H512" s="36"/>
      <c r="I512" s="36"/>
      <c r="J512" s="36"/>
      <c r="K512" s="37">
        <v>1.05</v>
      </c>
      <c r="L512" s="37">
        <f>ROUND(33.08,3)</f>
        <v>33.08</v>
      </c>
      <c r="M512" s="38">
        <f>ROUND(K512*L512,2)</f>
        <v>34.729999999999997</v>
      </c>
    </row>
    <row r="513" spans="1:13">
      <c r="A513" s="35" t="s">
        <v>515</v>
      </c>
      <c r="B513" s="35" t="s">
        <v>451</v>
      </c>
      <c r="C513" s="35" t="s">
        <v>516</v>
      </c>
      <c r="D513" s="36" t="s">
        <v>517</v>
      </c>
      <c r="E513" s="36"/>
      <c r="F513" s="36"/>
      <c r="G513" s="36"/>
      <c r="H513" s="36"/>
      <c r="I513" s="36"/>
      <c r="J513" s="36"/>
      <c r="K513" s="37">
        <v>0.05</v>
      </c>
      <c r="L513" s="37">
        <f>ROUND(9.601,3)</f>
        <v>9.6010000000000009</v>
      </c>
      <c r="M513" s="38">
        <f>ROUND(K513*L513,2)</f>
        <v>0.48</v>
      </c>
    </row>
    <row r="514" spans="1:13">
      <c r="A514" s="35" t="s">
        <v>603</v>
      </c>
      <c r="B514" s="35" t="s">
        <v>455</v>
      </c>
      <c r="C514" s="35" t="s">
        <v>456</v>
      </c>
      <c r="D514" s="36" t="s">
        <v>604</v>
      </c>
      <c r="E514" s="36"/>
      <c r="F514" s="36"/>
      <c r="G514" s="36"/>
      <c r="H514" s="36"/>
      <c r="I514" s="36"/>
      <c r="J514" s="36"/>
      <c r="K514" s="37">
        <v>0.126</v>
      </c>
      <c r="L514" s="37">
        <f>ROUND(20.33,3)</f>
        <v>20.329999999999998</v>
      </c>
      <c r="M514" s="38">
        <f>ROUND(K514*L514,2)</f>
        <v>2.56</v>
      </c>
    </row>
    <row r="515" spans="1:13">
      <c r="A515" s="35" t="s">
        <v>605</v>
      </c>
      <c r="B515" s="35" t="s">
        <v>455</v>
      </c>
      <c r="C515" s="35" t="s">
        <v>456</v>
      </c>
      <c r="D515" s="36" t="s">
        <v>606</v>
      </c>
      <c r="E515" s="36"/>
      <c r="F515" s="36"/>
      <c r="G515" s="36"/>
      <c r="H515" s="36"/>
      <c r="I515" s="36"/>
      <c r="J515" s="36"/>
      <c r="K515" s="37">
        <v>0.126</v>
      </c>
      <c r="L515" s="37">
        <f>ROUND(17.34,3)</f>
        <v>17.34</v>
      </c>
      <c r="M515" s="38">
        <f>ROUND(K515*L515,2)</f>
        <v>2.1800000000000002</v>
      </c>
    </row>
    <row r="516" spans="1:13">
      <c r="A516" s="35" t="s">
        <v>460</v>
      </c>
      <c r="B516" s="35"/>
      <c r="C516" s="35" t="s">
        <v>460</v>
      </c>
      <c r="D516" s="36" t="s">
        <v>461</v>
      </c>
      <c r="E516" s="36"/>
      <c r="F516" s="36"/>
      <c r="G516" s="36"/>
      <c r="H516" s="36"/>
      <c r="I516" s="36"/>
      <c r="J516" s="36"/>
      <c r="K516" s="37">
        <v>2</v>
      </c>
      <c r="L516" s="37">
        <f>ROUND(39.95,3)</f>
        <v>39.950000000000003</v>
      </c>
      <c r="M516" s="38">
        <f>ROUND((K516*L516)/100,2)</f>
        <v>0.8</v>
      </c>
    </row>
    <row r="517" spans="1:13">
      <c r="A517" s="52"/>
      <c r="B517" s="52"/>
      <c r="C517" s="52"/>
      <c r="D517" s="53" t="s">
        <v>648</v>
      </c>
      <c r="E517" s="52"/>
      <c r="F517" s="52"/>
      <c r="G517" s="52"/>
      <c r="H517" s="52"/>
      <c r="I517" s="52"/>
      <c r="J517" s="52"/>
      <c r="K517" s="54">
        <v>137.76</v>
      </c>
      <c r="L517" s="55">
        <f>ROUND((M512+M513+M514+M515+M516)*(1+M2/100),2)</f>
        <v>41.97</v>
      </c>
      <c r="M517" s="55">
        <f>ROUND(K517*L517,2)</f>
        <v>5781.79</v>
      </c>
    </row>
    <row r="518" spans="1:13">
      <c r="A518" s="56" t="s">
        <v>497</v>
      </c>
      <c r="B518" s="57" t="s">
        <v>431</v>
      </c>
      <c r="C518" s="57" t="s">
        <v>422</v>
      </c>
      <c r="D518" s="58" t="s">
        <v>579</v>
      </c>
      <c r="E518" s="58"/>
      <c r="F518" s="58"/>
      <c r="G518" s="58"/>
      <c r="H518" s="58"/>
      <c r="I518" s="58"/>
      <c r="J518" s="58"/>
      <c r="K518" s="59">
        <f>SUM(K521:K521)</f>
        <v>2</v>
      </c>
      <c r="L518" s="60">
        <f>L527</f>
        <v>26.8</v>
      </c>
      <c r="M518" s="60">
        <f>ROUND(K518*L518,2)</f>
        <v>53.6</v>
      </c>
    </row>
    <row r="519" spans="1:13" ht="56.25">
      <c r="A519" s="39"/>
      <c r="B519" s="39"/>
      <c r="C519" s="39"/>
      <c r="D519" s="36" t="s">
        <v>580</v>
      </c>
      <c r="E519" s="36"/>
      <c r="F519" s="36"/>
      <c r="G519" s="36"/>
      <c r="H519" s="36"/>
      <c r="I519" s="36"/>
      <c r="J519" s="36"/>
      <c r="K519" s="36"/>
      <c r="L519" s="36"/>
      <c r="M519" s="36"/>
    </row>
    <row r="520" spans="1:13">
      <c r="A520" s="39"/>
      <c r="B520" s="39"/>
      <c r="C520" s="39"/>
      <c r="D520" s="39"/>
      <c r="E520" s="40"/>
      <c r="F520" s="41" t="s">
        <v>434</v>
      </c>
      <c r="G520" s="41" t="s">
        <v>435</v>
      </c>
      <c r="H520" s="41" t="s">
        <v>436</v>
      </c>
      <c r="I520" s="41" t="s">
        <v>437</v>
      </c>
      <c r="J520" s="41" t="s">
        <v>438</v>
      </c>
      <c r="K520" s="41" t="s">
        <v>439</v>
      </c>
      <c r="L520" s="39"/>
      <c r="M520" s="39"/>
    </row>
    <row r="521" spans="1:13" ht="22.5">
      <c r="A521" s="39"/>
      <c r="B521" s="39"/>
      <c r="C521" s="39"/>
      <c r="D521" s="42"/>
      <c r="E521" s="43" t="s">
        <v>1030</v>
      </c>
      <c r="F521" s="44">
        <v>2</v>
      </c>
      <c r="G521" s="45"/>
      <c r="H521" s="45"/>
      <c r="I521" s="45"/>
      <c r="J521" s="46">
        <f>ROUND(F521,3)</f>
        <v>2</v>
      </c>
      <c r="K521" s="47">
        <f>SUM(J521:J521)</f>
        <v>2</v>
      </c>
      <c r="L521" s="39"/>
      <c r="M521" s="39"/>
    </row>
    <row r="522" spans="1:13">
      <c r="A522" s="35" t="s">
        <v>583</v>
      </c>
      <c r="B522" s="35" t="s">
        <v>451</v>
      </c>
      <c r="C522" s="35" t="s">
        <v>422</v>
      </c>
      <c r="D522" s="36" t="s">
        <v>579</v>
      </c>
      <c r="E522" s="36"/>
      <c r="F522" s="36"/>
      <c r="G522" s="36"/>
      <c r="H522" s="36"/>
      <c r="I522" s="36"/>
      <c r="J522" s="36"/>
      <c r="K522" s="37">
        <v>1</v>
      </c>
      <c r="L522" s="37">
        <f>ROUND(21.57,3)</f>
        <v>21.57</v>
      </c>
      <c r="M522" s="38">
        <f>ROUND(K522*L522,2)</f>
        <v>21.57</v>
      </c>
    </row>
    <row r="523" spans="1:13" ht="22.5">
      <c r="A523" s="35" t="s">
        <v>452</v>
      </c>
      <c r="B523" s="35" t="s">
        <v>451</v>
      </c>
      <c r="C523" s="35" t="s">
        <v>422</v>
      </c>
      <c r="D523" s="36" t="s">
        <v>453</v>
      </c>
      <c r="E523" s="36"/>
      <c r="F523" s="36"/>
      <c r="G523" s="36"/>
      <c r="H523" s="36"/>
      <c r="I523" s="36"/>
      <c r="J523" s="36"/>
      <c r="K523" s="37">
        <v>0.1</v>
      </c>
      <c r="L523" s="37">
        <f>ROUND(2.1,3)</f>
        <v>2.1</v>
      </c>
      <c r="M523" s="38">
        <f>ROUND(K523*L523,2)</f>
        <v>0.21</v>
      </c>
    </row>
    <row r="524" spans="1:13">
      <c r="A524" s="35" t="s">
        <v>454</v>
      </c>
      <c r="B524" s="35" t="s">
        <v>455</v>
      </c>
      <c r="C524" s="35" t="s">
        <v>456</v>
      </c>
      <c r="D524" s="36" t="s">
        <v>457</v>
      </c>
      <c r="E524" s="36"/>
      <c r="F524" s="36"/>
      <c r="G524" s="36"/>
      <c r="H524" s="36"/>
      <c r="I524" s="36"/>
      <c r="J524" s="36"/>
      <c r="K524" s="37">
        <v>0.11</v>
      </c>
      <c r="L524" s="37">
        <f>ROUND(17.82,3)</f>
        <v>17.82</v>
      </c>
      <c r="M524" s="38">
        <f>ROUND(K524*L524,2)</f>
        <v>1.96</v>
      </c>
    </row>
    <row r="525" spans="1:13">
      <c r="A525" s="35" t="s">
        <v>458</v>
      </c>
      <c r="B525" s="35" t="s">
        <v>455</v>
      </c>
      <c r="C525" s="35" t="s">
        <v>456</v>
      </c>
      <c r="D525" s="36" t="s">
        <v>459</v>
      </c>
      <c r="E525" s="36"/>
      <c r="F525" s="36"/>
      <c r="G525" s="36"/>
      <c r="H525" s="36"/>
      <c r="I525" s="36"/>
      <c r="J525" s="36"/>
      <c r="K525" s="37">
        <v>0.11</v>
      </c>
      <c r="L525" s="37">
        <f>ROUND(16.1,3)</f>
        <v>16.100000000000001</v>
      </c>
      <c r="M525" s="38">
        <f>ROUND(K525*L525,2)</f>
        <v>1.77</v>
      </c>
    </row>
    <row r="526" spans="1:13">
      <c r="A526" s="35" t="s">
        <v>460</v>
      </c>
      <c r="B526" s="35"/>
      <c r="C526" s="35" t="s">
        <v>460</v>
      </c>
      <c r="D526" s="36" t="s">
        <v>461</v>
      </c>
      <c r="E526" s="36"/>
      <c r="F526" s="36"/>
      <c r="G526" s="36"/>
      <c r="H526" s="36"/>
      <c r="I526" s="36"/>
      <c r="J526" s="36"/>
      <c r="K526" s="37">
        <v>2</v>
      </c>
      <c r="L526" s="37">
        <f>ROUND(25.51,3)</f>
        <v>25.51</v>
      </c>
      <c r="M526" s="38">
        <f>ROUND((K526*L526)/100,2)</f>
        <v>0.51</v>
      </c>
    </row>
    <row r="527" spans="1:13">
      <c r="A527" s="52"/>
      <c r="B527" s="52"/>
      <c r="C527" s="52"/>
      <c r="D527" s="53" t="s">
        <v>497</v>
      </c>
      <c r="E527" s="52"/>
      <c r="F527" s="52"/>
      <c r="G527" s="52"/>
      <c r="H527" s="52"/>
      <c r="I527" s="52"/>
      <c r="J527" s="52"/>
      <c r="K527" s="54">
        <v>2</v>
      </c>
      <c r="L527" s="55">
        <f>ROUND((M522+M523+M524+M525+M526)*(1+M2/100),2)</f>
        <v>26.8</v>
      </c>
      <c r="M527" s="55">
        <f>ROUND(K527*L527,2)</f>
        <v>53.6</v>
      </c>
    </row>
    <row r="528" spans="1:13">
      <c r="A528" s="56" t="s">
        <v>584</v>
      </c>
      <c r="B528" s="57" t="s">
        <v>431</v>
      </c>
      <c r="C528" s="57" t="s">
        <v>3</v>
      </c>
      <c r="D528" s="58" t="s">
        <v>585</v>
      </c>
      <c r="E528" s="58"/>
      <c r="F528" s="58"/>
      <c r="G528" s="58"/>
      <c r="H528" s="58"/>
      <c r="I528" s="58"/>
      <c r="J528" s="58"/>
      <c r="K528" s="59">
        <f>SUM(K531:K532)</f>
        <v>2</v>
      </c>
      <c r="L528" s="60">
        <f>ROUND(385*(1+M2/100),2)</f>
        <v>396.55</v>
      </c>
      <c r="M528" s="60">
        <f>ROUND(K528*L528,2)</f>
        <v>793.1</v>
      </c>
    </row>
    <row r="529" spans="1:13">
      <c r="A529" s="39"/>
      <c r="B529" s="39"/>
      <c r="C529" s="39"/>
      <c r="D529" s="36" t="s">
        <v>586</v>
      </c>
      <c r="E529" s="36"/>
      <c r="F529" s="36"/>
      <c r="G529" s="36"/>
      <c r="H529" s="36"/>
      <c r="I529" s="36"/>
      <c r="J529" s="36"/>
      <c r="K529" s="36"/>
      <c r="L529" s="36"/>
      <c r="M529" s="36"/>
    </row>
    <row r="530" spans="1:13">
      <c r="A530" s="39"/>
      <c r="B530" s="39"/>
      <c r="C530" s="39"/>
      <c r="D530" s="39"/>
      <c r="E530" s="40"/>
      <c r="F530" s="41" t="s">
        <v>434</v>
      </c>
      <c r="G530" s="41" t="s">
        <v>435</v>
      </c>
      <c r="H530" s="41" t="s">
        <v>436</v>
      </c>
      <c r="I530" s="41" t="s">
        <v>437</v>
      </c>
      <c r="J530" s="41" t="s">
        <v>438</v>
      </c>
      <c r="K530" s="41" t="s">
        <v>439</v>
      </c>
      <c r="L530" s="39"/>
      <c r="M530" s="39"/>
    </row>
    <row r="531" spans="1:13">
      <c r="A531" s="39"/>
      <c r="B531" s="39"/>
      <c r="C531" s="39"/>
      <c r="D531" s="42"/>
      <c r="E531" s="43"/>
      <c r="F531" s="44">
        <v>1</v>
      </c>
      <c r="G531" s="45"/>
      <c r="H531" s="45"/>
      <c r="I531" s="45"/>
      <c r="J531" s="46">
        <f>ROUND(F531,3)</f>
        <v>1</v>
      </c>
      <c r="K531" s="48"/>
      <c r="L531" s="39"/>
      <c r="M531" s="39"/>
    </row>
    <row r="532" spans="1:13">
      <c r="A532" s="39"/>
      <c r="B532" s="39"/>
      <c r="C532" s="39"/>
      <c r="D532" s="42"/>
      <c r="E532" s="35"/>
      <c r="F532" s="49">
        <v>1</v>
      </c>
      <c r="G532" s="37"/>
      <c r="H532" s="37"/>
      <c r="I532" s="37"/>
      <c r="J532" s="50">
        <f>ROUND(F532,3)</f>
        <v>1</v>
      </c>
      <c r="K532" s="51">
        <f>SUM(J531:J532)</f>
        <v>2</v>
      </c>
      <c r="L532" s="39"/>
      <c r="M532" s="39"/>
    </row>
    <row r="533" spans="1:13">
      <c r="A533" s="34" t="s">
        <v>622</v>
      </c>
      <c r="B533" s="35" t="s">
        <v>431</v>
      </c>
      <c r="C533" s="35" t="s">
        <v>3</v>
      </c>
      <c r="D533" s="36" t="s">
        <v>623</v>
      </c>
      <c r="E533" s="36"/>
      <c r="F533" s="36"/>
      <c r="G533" s="36"/>
      <c r="H533" s="36"/>
      <c r="I533" s="36"/>
      <c r="J533" s="36"/>
      <c r="K533" s="37">
        <f>SUM(K536:K536)</f>
        <v>9</v>
      </c>
      <c r="L533" s="38">
        <f>L541</f>
        <v>1595.6</v>
      </c>
      <c r="M533" s="38">
        <f>ROUND(K533*L533,2)</f>
        <v>14360.4</v>
      </c>
    </row>
    <row r="534" spans="1:13">
      <c r="A534" s="39"/>
      <c r="B534" s="39"/>
      <c r="C534" s="39"/>
      <c r="D534" s="36" t="s">
        <v>624</v>
      </c>
      <c r="E534" s="36"/>
      <c r="F534" s="36"/>
      <c r="G534" s="36"/>
      <c r="H534" s="36"/>
      <c r="I534" s="36"/>
      <c r="J534" s="36"/>
      <c r="K534" s="36"/>
      <c r="L534" s="36"/>
      <c r="M534" s="36"/>
    </row>
    <row r="535" spans="1:13">
      <c r="A535" s="39"/>
      <c r="B535" s="39"/>
      <c r="C535" s="39"/>
      <c r="D535" s="39"/>
      <c r="E535" s="40"/>
      <c r="F535" s="41" t="s">
        <v>434</v>
      </c>
      <c r="G535" s="41" t="s">
        <v>435</v>
      </c>
      <c r="H535" s="41" t="s">
        <v>436</v>
      </c>
      <c r="I535" s="41" t="s">
        <v>437</v>
      </c>
      <c r="J535" s="41" t="s">
        <v>438</v>
      </c>
      <c r="K535" s="41" t="s">
        <v>439</v>
      </c>
      <c r="L535" s="39"/>
      <c r="M535" s="39"/>
    </row>
    <row r="536" spans="1:13">
      <c r="A536" s="39"/>
      <c r="B536" s="39"/>
      <c r="C536" s="39"/>
      <c r="D536" s="42"/>
      <c r="E536" s="43" t="s">
        <v>1033</v>
      </c>
      <c r="F536" s="44">
        <v>9</v>
      </c>
      <c r="G536" s="45"/>
      <c r="H536" s="45"/>
      <c r="I536" s="45"/>
      <c r="J536" s="46">
        <f>ROUND(F536,3)</f>
        <v>9</v>
      </c>
      <c r="K536" s="47">
        <f>SUM(J536:J536)</f>
        <v>9</v>
      </c>
      <c r="L536" s="39"/>
      <c r="M536" s="39"/>
    </row>
    <row r="537" spans="1:13">
      <c r="A537" s="35" t="s">
        <v>529</v>
      </c>
      <c r="B537" s="35" t="s">
        <v>455</v>
      </c>
      <c r="C537" s="35" t="s">
        <v>456</v>
      </c>
      <c r="D537" s="36" t="s">
        <v>530</v>
      </c>
      <c r="E537" s="36"/>
      <c r="F537" s="36"/>
      <c r="G537" s="36"/>
      <c r="H537" s="36"/>
      <c r="I537" s="36"/>
      <c r="J537" s="36"/>
      <c r="K537" s="37">
        <v>0.88</v>
      </c>
      <c r="L537" s="37">
        <f>ROUND(17.32,3)</f>
        <v>17.32</v>
      </c>
      <c r="M537" s="38">
        <f t="shared" ref="M537:M542" si="19">ROUND(K537*L537,2)</f>
        <v>15.24</v>
      </c>
    </row>
    <row r="538" spans="1:13">
      <c r="A538" s="35" t="s">
        <v>527</v>
      </c>
      <c r="B538" s="35" t="s">
        <v>455</v>
      </c>
      <c r="C538" s="35" t="s">
        <v>456</v>
      </c>
      <c r="D538" s="36" t="s">
        <v>528</v>
      </c>
      <c r="E538" s="36"/>
      <c r="F538" s="36"/>
      <c r="G538" s="36"/>
      <c r="H538" s="36"/>
      <c r="I538" s="36"/>
      <c r="J538" s="36"/>
      <c r="K538" s="37">
        <v>0.88</v>
      </c>
      <c r="L538" s="37">
        <f>ROUND(20.33,3)</f>
        <v>20.329999999999998</v>
      </c>
      <c r="M538" s="38">
        <f t="shared" si="19"/>
        <v>17.89</v>
      </c>
    </row>
    <row r="539" spans="1:13">
      <c r="A539" s="35" t="s">
        <v>625</v>
      </c>
      <c r="B539" s="35" t="s">
        <v>451</v>
      </c>
      <c r="C539" s="35" t="s">
        <v>3</v>
      </c>
      <c r="D539" s="36" t="s">
        <v>626</v>
      </c>
      <c r="E539" s="36"/>
      <c r="F539" s="36"/>
      <c r="G539" s="36"/>
      <c r="H539" s="36"/>
      <c r="I539" s="36"/>
      <c r="J539" s="36"/>
      <c r="K539" s="37">
        <v>1</v>
      </c>
      <c r="L539" s="37">
        <f>ROUND(1512.4,3)</f>
        <v>1512.4</v>
      </c>
      <c r="M539" s="38">
        <f t="shared" si="19"/>
        <v>1512.4</v>
      </c>
    </row>
    <row r="540" spans="1:13" ht="22.5">
      <c r="A540" s="35" t="s">
        <v>531</v>
      </c>
      <c r="B540" s="35" t="s">
        <v>451</v>
      </c>
      <c r="C540" s="35" t="s">
        <v>56</v>
      </c>
      <c r="D540" s="36" t="s">
        <v>532</v>
      </c>
      <c r="E540" s="36"/>
      <c r="F540" s="36"/>
      <c r="G540" s="36"/>
      <c r="H540" s="36"/>
      <c r="I540" s="36"/>
      <c r="J540" s="36"/>
      <c r="K540" s="37">
        <v>9</v>
      </c>
      <c r="L540" s="37">
        <f>ROUND(0.4,3)</f>
        <v>0.4</v>
      </c>
      <c r="M540" s="38">
        <f t="shared" si="19"/>
        <v>3.6</v>
      </c>
    </row>
    <row r="541" spans="1:13">
      <c r="A541" s="52"/>
      <c r="B541" s="52"/>
      <c r="C541" s="52"/>
      <c r="D541" s="53" t="s">
        <v>622</v>
      </c>
      <c r="E541" s="52"/>
      <c r="F541" s="52"/>
      <c r="G541" s="52"/>
      <c r="H541" s="52"/>
      <c r="I541" s="52"/>
      <c r="J541" s="52"/>
      <c r="K541" s="54">
        <v>9</v>
      </c>
      <c r="L541" s="55">
        <f>ROUND((M537+M538+M539+M540)*(1+M2/100),2)</f>
        <v>1595.6</v>
      </c>
      <c r="M541" s="55">
        <f t="shared" si="19"/>
        <v>14360.4</v>
      </c>
    </row>
    <row r="542" spans="1:13">
      <c r="A542" s="56" t="s">
        <v>627</v>
      </c>
      <c r="B542" s="57" t="s">
        <v>431</v>
      </c>
      <c r="C542" s="57" t="s">
        <v>3</v>
      </c>
      <c r="D542" s="58" t="s">
        <v>629</v>
      </c>
      <c r="E542" s="58"/>
      <c r="F542" s="58"/>
      <c r="G542" s="58"/>
      <c r="H542" s="58"/>
      <c r="I542" s="58"/>
      <c r="J542" s="58"/>
      <c r="K542" s="59">
        <f>SUM(K545:K545)</f>
        <v>9</v>
      </c>
      <c r="L542" s="60">
        <f>L549</f>
        <v>191.31</v>
      </c>
      <c r="M542" s="60">
        <f t="shared" si="19"/>
        <v>1721.79</v>
      </c>
    </row>
    <row r="543" spans="1:13">
      <c r="A543" s="39"/>
      <c r="B543" s="39"/>
      <c r="C543" s="39"/>
      <c r="D543" s="36" t="s">
        <v>629</v>
      </c>
      <c r="E543" s="36"/>
      <c r="F543" s="36"/>
      <c r="G543" s="36"/>
      <c r="H543" s="36"/>
      <c r="I543" s="36"/>
      <c r="J543" s="36"/>
      <c r="K543" s="36"/>
      <c r="L543" s="36"/>
      <c r="M543" s="36"/>
    </row>
    <row r="544" spans="1:13">
      <c r="A544" s="39"/>
      <c r="B544" s="39"/>
      <c r="C544" s="39"/>
      <c r="D544" s="39"/>
      <c r="E544" s="40"/>
      <c r="F544" s="41" t="s">
        <v>434</v>
      </c>
      <c r="G544" s="41" t="s">
        <v>435</v>
      </c>
      <c r="H544" s="41" t="s">
        <v>436</v>
      </c>
      <c r="I544" s="41" t="s">
        <v>437</v>
      </c>
      <c r="J544" s="41" t="s">
        <v>438</v>
      </c>
      <c r="K544" s="41" t="s">
        <v>439</v>
      </c>
      <c r="L544" s="39"/>
      <c r="M544" s="39"/>
    </row>
    <row r="545" spans="1:13">
      <c r="A545" s="39"/>
      <c r="B545" s="39"/>
      <c r="C545" s="39"/>
      <c r="D545" s="42"/>
      <c r="E545" s="43" t="s">
        <v>1033</v>
      </c>
      <c r="F545" s="44">
        <v>9</v>
      </c>
      <c r="G545" s="45"/>
      <c r="H545" s="45"/>
      <c r="I545" s="45"/>
      <c r="J545" s="46">
        <f>ROUND(F545,3)</f>
        <v>9</v>
      </c>
      <c r="K545" s="47">
        <f>SUM(J545:J545)</f>
        <v>9</v>
      </c>
      <c r="L545" s="39"/>
      <c r="M545" s="39"/>
    </row>
    <row r="546" spans="1:13">
      <c r="A546" s="35" t="s">
        <v>529</v>
      </c>
      <c r="B546" s="35" t="s">
        <v>455</v>
      </c>
      <c r="C546" s="35" t="s">
        <v>456</v>
      </c>
      <c r="D546" s="36" t="s">
        <v>530</v>
      </c>
      <c r="E546" s="36"/>
      <c r="F546" s="36"/>
      <c r="G546" s="36"/>
      <c r="H546" s="36"/>
      <c r="I546" s="36"/>
      <c r="J546" s="36"/>
      <c r="K546" s="37">
        <v>1</v>
      </c>
      <c r="L546" s="37">
        <f>ROUND(17.32,3)</f>
        <v>17.32</v>
      </c>
      <c r="M546" s="38">
        <f>ROUND(K546*L546,2)</f>
        <v>17.32</v>
      </c>
    </row>
    <row r="547" spans="1:13">
      <c r="A547" s="35" t="s">
        <v>458</v>
      </c>
      <c r="B547" s="35" t="s">
        <v>455</v>
      </c>
      <c r="C547" s="35" t="s">
        <v>456</v>
      </c>
      <c r="D547" s="36" t="s">
        <v>459</v>
      </c>
      <c r="E547" s="36"/>
      <c r="F547" s="36"/>
      <c r="G547" s="36"/>
      <c r="H547" s="36"/>
      <c r="I547" s="36"/>
      <c r="J547" s="36"/>
      <c r="K547" s="37">
        <v>1</v>
      </c>
      <c r="L547" s="37">
        <f>ROUND(16.1,3)</f>
        <v>16.100000000000001</v>
      </c>
      <c r="M547" s="38">
        <f>ROUND(K547*L547,2)</f>
        <v>16.100000000000001</v>
      </c>
    </row>
    <row r="548" spans="1:13">
      <c r="A548" s="35" t="s">
        <v>630</v>
      </c>
      <c r="B548" s="35" t="s">
        <v>451</v>
      </c>
      <c r="C548" s="35" t="s">
        <v>3</v>
      </c>
      <c r="D548" s="36" t="s">
        <v>631</v>
      </c>
      <c r="E548" s="36"/>
      <c r="F548" s="36"/>
      <c r="G548" s="36"/>
      <c r="H548" s="36"/>
      <c r="I548" s="36"/>
      <c r="J548" s="36"/>
      <c r="K548" s="37">
        <v>1</v>
      </c>
      <c r="L548" s="37">
        <f>ROUND(152.32,3)</f>
        <v>152.32</v>
      </c>
      <c r="M548" s="38">
        <f>ROUND(K548*L548,2)</f>
        <v>152.32</v>
      </c>
    </row>
    <row r="549" spans="1:13">
      <c r="A549" s="52"/>
      <c r="B549" s="52"/>
      <c r="C549" s="52"/>
      <c r="D549" s="53" t="s">
        <v>627</v>
      </c>
      <c r="E549" s="52"/>
      <c r="F549" s="52"/>
      <c r="G549" s="52"/>
      <c r="H549" s="52"/>
      <c r="I549" s="52"/>
      <c r="J549" s="52"/>
      <c r="K549" s="54">
        <v>9</v>
      </c>
      <c r="L549" s="55">
        <f>ROUND((M546+M547+M548)*(1+M2/100),2)</f>
        <v>191.31</v>
      </c>
      <c r="M549" s="55">
        <f>ROUND(K549*L549,2)</f>
        <v>1721.79</v>
      </c>
    </row>
    <row r="550" spans="1:13">
      <c r="A550" s="56" t="s">
        <v>1055</v>
      </c>
      <c r="B550" s="57" t="s">
        <v>431</v>
      </c>
      <c r="C550" s="57" t="s">
        <v>422</v>
      </c>
      <c r="D550" s="58" t="s">
        <v>1034</v>
      </c>
      <c r="E550" s="58"/>
      <c r="F550" s="58"/>
      <c r="G550" s="58"/>
      <c r="H550" s="58"/>
      <c r="I550" s="58"/>
      <c r="J550" s="58"/>
      <c r="K550" s="59">
        <f>ROUND(9,2)</f>
        <v>9</v>
      </c>
      <c r="L550" s="60">
        <f>L555</f>
        <v>47.15</v>
      </c>
      <c r="M550" s="60">
        <f>ROUND(K550*L550,2)</f>
        <v>424.35</v>
      </c>
    </row>
    <row r="551" spans="1:13" ht="67.5">
      <c r="A551" s="39"/>
      <c r="B551" s="39"/>
      <c r="C551" s="39"/>
      <c r="D551" s="36" t="s">
        <v>634</v>
      </c>
      <c r="E551" s="36"/>
      <c r="F551" s="36"/>
      <c r="G551" s="36"/>
      <c r="H551" s="36"/>
      <c r="I551" s="36"/>
      <c r="J551" s="36"/>
      <c r="K551" s="36"/>
      <c r="L551" s="36"/>
      <c r="M551" s="36"/>
    </row>
    <row r="552" spans="1:13" ht="22.5">
      <c r="A552" s="35" t="s">
        <v>635</v>
      </c>
      <c r="B552" s="35" t="s">
        <v>451</v>
      </c>
      <c r="C552" s="35" t="s">
        <v>422</v>
      </c>
      <c r="D552" s="36" t="s">
        <v>636</v>
      </c>
      <c r="E552" s="36"/>
      <c r="F552" s="36"/>
      <c r="G552" s="36"/>
      <c r="H552" s="36"/>
      <c r="I552" s="36"/>
      <c r="J552" s="36"/>
      <c r="K552" s="37">
        <v>1</v>
      </c>
      <c r="L552" s="37">
        <f>ROUND(39.29,3)</f>
        <v>39.29</v>
      </c>
      <c r="M552" s="38">
        <f>ROUND(K552*L552,2)</f>
        <v>39.29</v>
      </c>
    </row>
    <row r="553" spans="1:13">
      <c r="A553" s="35" t="s">
        <v>493</v>
      </c>
      <c r="B553" s="35" t="s">
        <v>455</v>
      </c>
      <c r="C553" s="35" t="s">
        <v>456</v>
      </c>
      <c r="D553" s="36" t="s">
        <v>494</v>
      </c>
      <c r="E553" s="36"/>
      <c r="F553" s="36"/>
      <c r="G553" s="36"/>
      <c r="H553" s="36"/>
      <c r="I553" s="36"/>
      <c r="J553" s="36"/>
      <c r="K553" s="37">
        <v>0.27500000000000002</v>
      </c>
      <c r="L553" s="37">
        <f>ROUND(20.33,3)</f>
        <v>20.329999999999998</v>
      </c>
      <c r="M553" s="38">
        <f>ROUND(K553*L553,2)</f>
        <v>5.59</v>
      </c>
    </row>
    <row r="554" spans="1:13">
      <c r="A554" s="35" t="s">
        <v>460</v>
      </c>
      <c r="B554" s="35"/>
      <c r="C554" s="35" t="s">
        <v>460</v>
      </c>
      <c r="D554" s="36" t="s">
        <v>461</v>
      </c>
      <c r="E554" s="36"/>
      <c r="F554" s="36"/>
      <c r="G554" s="36"/>
      <c r="H554" s="36"/>
      <c r="I554" s="36"/>
      <c r="J554" s="36"/>
      <c r="K554" s="37">
        <v>2</v>
      </c>
      <c r="L554" s="37">
        <f>ROUND(44.88,3)</f>
        <v>44.88</v>
      </c>
      <c r="M554" s="38">
        <f>ROUND((K554*L554)/100,2)</f>
        <v>0.9</v>
      </c>
    </row>
    <row r="555" spans="1:13">
      <c r="A555" s="52"/>
      <c r="B555" s="52"/>
      <c r="C555" s="52"/>
      <c r="D555" s="53" t="s">
        <v>1055</v>
      </c>
      <c r="E555" s="52"/>
      <c r="F555" s="52"/>
      <c r="G555" s="52"/>
      <c r="H555" s="52"/>
      <c r="I555" s="52"/>
      <c r="J555" s="52"/>
      <c r="K555" s="54">
        <v>9</v>
      </c>
      <c r="L555" s="55">
        <f>ROUND((M552+M553+M554)*(1+M2/100),2)</f>
        <v>47.15</v>
      </c>
      <c r="M555" s="55">
        <f>ROUND(K555*L555,2)</f>
        <v>424.35</v>
      </c>
    </row>
    <row r="556" spans="1:13">
      <c r="A556" s="56" t="s">
        <v>637</v>
      </c>
      <c r="B556" s="57" t="s">
        <v>431</v>
      </c>
      <c r="C556" s="57" t="s">
        <v>3</v>
      </c>
      <c r="D556" s="58" t="s">
        <v>638</v>
      </c>
      <c r="E556" s="58"/>
      <c r="F556" s="58"/>
      <c r="G556" s="58"/>
      <c r="H556" s="58"/>
      <c r="I556" s="58"/>
      <c r="J556" s="58"/>
      <c r="K556" s="59">
        <f>ROUND(1,2)</f>
        <v>1</v>
      </c>
      <c r="L556" s="60">
        <f>ROUND(241*(1+M2/100),2)</f>
        <v>248.23</v>
      </c>
      <c r="M556" s="60">
        <f>ROUND(K556*L556,2)</f>
        <v>248.23</v>
      </c>
    </row>
    <row r="557" spans="1:13">
      <c r="A557" s="39"/>
      <c r="B557" s="39"/>
      <c r="C557" s="39"/>
      <c r="D557" s="36" t="s">
        <v>639</v>
      </c>
      <c r="E557" s="36"/>
      <c r="F557" s="36"/>
      <c r="G557" s="36"/>
      <c r="H557" s="36"/>
      <c r="I557" s="36"/>
      <c r="J557" s="36"/>
      <c r="K557" s="36"/>
      <c r="L557" s="36"/>
      <c r="M557" s="36"/>
    </row>
    <row r="558" spans="1:13">
      <c r="A558" s="34" t="s">
        <v>1056</v>
      </c>
      <c r="B558" s="35" t="s">
        <v>431</v>
      </c>
      <c r="C558" s="35" t="s">
        <v>534</v>
      </c>
      <c r="D558" s="36" t="s">
        <v>535</v>
      </c>
      <c r="E558" s="36"/>
      <c r="F558" s="36"/>
      <c r="G558" s="36"/>
      <c r="H558" s="36"/>
      <c r="I558" s="36"/>
      <c r="J558" s="36"/>
      <c r="K558" s="37">
        <f>SUM(K561:K561)</f>
        <v>160</v>
      </c>
      <c r="L558" s="38">
        <f>L569</f>
        <v>6.65</v>
      </c>
      <c r="M558" s="38">
        <f>ROUND(K558*L558,2)</f>
        <v>1064</v>
      </c>
    </row>
    <row r="559" spans="1:13" ht="112.5">
      <c r="A559" s="39"/>
      <c r="B559" s="39"/>
      <c r="C559" s="39"/>
      <c r="D559" s="36" t="s">
        <v>536</v>
      </c>
      <c r="E559" s="36"/>
      <c r="F559" s="36"/>
      <c r="G559" s="36"/>
      <c r="H559" s="36"/>
      <c r="I559" s="36"/>
      <c r="J559" s="36"/>
      <c r="K559" s="36"/>
      <c r="L559" s="36"/>
      <c r="M559" s="36"/>
    </row>
    <row r="560" spans="1:13">
      <c r="A560" s="39"/>
      <c r="B560" s="39"/>
      <c r="C560" s="39"/>
      <c r="D560" s="39"/>
      <c r="E560" s="40"/>
      <c r="F560" s="41" t="s">
        <v>434</v>
      </c>
      <c r="G560" s="41" t="s">
        <v>435</v>
      </c>
      <c r="H560" s="41" t="s">
        <v>436</v>
      </c>
      <c r="I560" s="41" t="s">
        <v>437</v>
      </c>
      <c r="J560" s="41" t="s">
        <v>438</v>
      </c>
      <c r="K560" s="41" t="s">
        <v>439</v>
      </c>
      <c r="L560" s="39"/>
      <c r="M560" s="39"/>
    </row>
    <row r="561" spans="1:13">
      <c r="A561" s="39"/>
      <c r="B561" s="39"/>
      <c r="C561" s="39"/>
      <c r="D561" s="42"/>
      <c r="E561" s="43"/>
      <c r="F561" s="44">
        <v>160</v>
      </c>
      <c r="G561" s="45"/>
      <c r="H561" s="45"/>
      <c r="I561" s="45"/>
      <c r="J561" s="46">
        <f>ROUND(F561,3)</f>
        <v>160</v>
      </c>
      <c r="K561" s="47">
        <f>SUM(J561:J561)</f>
        <v>160</v>
      </c>
      <c r="L561" s="39"/>
      <c r="M561" s="39"/>
    </row>
    <row r="562" spans="1:13">
      <c r="A562" s="35" t="s">
        <v>537</v>
      </c>
      <c r="B562" s="35" t="s">
        <v>451</v>
      </c>
      <c r="C562" s="35" t="s">
        <v>538</v>
      </c>
      <c r="D562" s="36" t="s">
        <v>539</v>
      </c>
      <c r="E562" s="36"/>
      <c r="F562" s="36"/>
      <c r="G562" s="36"/>
      <c r="H562" s="36"/>
      <c r="I562" s="36"/>
      <c r="J562" s="36"/>
      <c r="K562" s="37">
        <v>1.4999999999999999E-2</v>
      </c>
      <c r="L562" s="37">
        <f>ROUND(78.89,3)</f>
        <v>78.89</v>
      </c>
      <c r="M562" s="38">
        <f t="shared" ref="M562:M567" si="20">ROUND(K562*L562,2)</f>
        <v>1.18</v>
      </c>
    </row>
    <row r="563" spans="1:13">
      <c r="A563" s="35" t="s">
        <v>540</v>
      </c>
      <c r="B563" s="35" t="s">
        <v>451</v>
      </c>
      <c r="C563" s="35" t="s">
        <v>538</v>
      </c>
      <c r="D563" s="36" t="s">
        <v>541</v>
      </c>
      <c r="E563" s="36"/>
      <c r="F563" s="36"/>
      <c r="G563" s="36"/>
      <c r="H563" s="36"/>
      <c r="I563" s="36"/>
      <c r="J563" s="36"/>
      <c r="K563" s="37">
        <v>6.0000000000000001E-3</v>
      </c>
      <c r="L563" s="37">
        <f>ROUND(1.5,3)</f>
        <v>1.5</v>
      </c>
      <c r="M563" s="38">
        <f t="shared" si="20"/>
        <v>0.01</v>
      </c>
    </row>
    <row r="564" spans="1:13" ht="22.5">
      <c r="A564" s="35" t="s">
        <v>542</v>
      </c>
      <c r="B564" s="35" t="s">
        <v>451</v>
      </c>
      <c r="C564" s="35" t="s">
        <v>543</v>
      </c>
      <c r="D564" s="36" t="s">
        <v>544</v>
      </c>
      <c r="E564" s="36"/>
      <c r="F564" s="36"/>
      <c r="G564" s="36"/>
      <c r="H564" s="36"/>
      <c r="I564" s="36"/>
      <c r="J564" s="36"/>
      <c r="K564" s="37">
        <v>1.9E-2</v>
      </c>
      <c r="L564" s="37">
        <f>ROUND(36.25,3)</f>
        <v>36.25</v>
      </c>
      <c r="M564" s="38">
        <f t="shared" si="20"/>
        <v>0.69</v>
      </c>
    </row>
    <row r="565" spans="1:13">
      <c r="A565" s="35" t="s">
        <v>545</v>
      </c>
      <c r="B565" s="35" t="s">
        <v>525</v>
      </c>
      <c r="C565" s="35" t="s">
        <v>456</v>
      </c>
      <c r="D565" s="36" t="s">
        <v>546</v>
      </c>
      <c r="E565" s="36"/>
      <c r="F565" s="36"/>
      <c r="G565" s="36"/>
      <c r="H565" s="36"/>
      <c r="I565" s="36"/>
      <c r="J565" s="36"/>
      <c r="K565" s="37">
        <v>5.0000000000000001E-3</v>
      </c>
      <c r="L565" s="37">
        <f>ROUND(25,3)</f>
        <v>25</v>
      </c>
      <c r="M565" s="38">
        <f t="shared" si="20"/>
        <v>0.13</v>
      </c>
    </row>
    <row r="566" spans="1:13">
      <c r="A566" s="35" t="s">
        <v>547</v>
      </c>
      <c r="B566" s="35" t="s">
        <v>455</v>
      </c>
      <c r="C566" s="35" t="s">
        <v>456</v>
      </c>
      <c r="D566" s="36" t="s">
        <v>548</v>
      </c>
      <c r="E566" s="36"/>
      <c r="F566" s="36"/>
      <c r="G566" s="36"/>
      <c r="H566" s="36"/>
      <c r="I566" s="36"/>
      <c r="J566" s="36"/>
      <c r="K566" s="37">
        <v>7.0000000000000007E-2</v>
      </c>
      <c r="L566" s="37">
        <f>ROUND(20.09,3)</f>
        <v>20.09</v>
      </c>
      <c r="M566" s="38">
        <f t="shared" si="20"/>
        <v>1.41</v>
      </c>
    </row>
    <row r="567" spans="1:13">
      <c r="A567" s="35" t="s">
        <v>549</v>
      </c>
      <c r="B567" s="35" t="s">
        <v>455</v>
      </c>
      <c r="C567" s="35" t="s">
        <v>456</v>
      </c>
      <c r="D567" s="36" t="s">
        <v>550</v>
      </c>
      <c r="E567" s="36"/>
      <c r="F567" s="36"/>
      <c r="G567" s="36"/>
      <c r="H567" s="36"/>
      <c r="I567" s="36"/>
      <c r="J567" s="36"/>
      <c r="K567" s="37">
        <v>0.17599999999999999</v>
      </c>
      <c r="L567" s="37">
        <f>ROUND(15.88,3)</f>
        <v>15.88</v>
      </c>
      <c r="M567" s="38">
        <f t="shared" si="20"/>
        <v>2.79</v>
      </c>
    </row>
    <row r="568" spans="1:13">
      <c r="A568" s="35" t="s">
        <v>460</v>
      </c>
      <c r="B568" s="35"/>
      <c r="C568" s="35" t="s">
        <v>460</v>
      </c>
      <c r="D568" s="36" t="s">
        <v>461</v>
      </c>
      <c r="E568" s="36"/>
      <c r="F568" s="36"/>
      <c r="G568" s="36"/>
      <c r="H568" s="36"/>
      <c r="I568" s="36"/>
      <c r="J568" s="36"/>
      <c r="K568" s="37">
        <v>4</v>
      </c>
      <c r="L568" s="37">
        <f>ROUND(6.21,3)</f>
        <v>6.21</v>
      </c>
      <c r="M568" s="38">
        <f>ROUND((K568*L568)/100,2)</f>
        <v>0.25</v>
      </c>
    </row>
    <row r="569" spans="1:13">
      <c r="A569" s="52"/>
      <c r="B569" s="52"/>
      <c r="C569" s="52"/>
      <c r="D569" s="53" t="s">
        <v>1056</v>
      </c>
      <c r="E569" s="52"/>
      <c r="F569" s="52"/>
      <c r="G569" s="52"/>
      <c r="H569" s="52"/>
      <c r="I569" s="52"/>
      <c r="J569" s="52"/>
      <c r="K569" s="54">
        <v>160</v>
      </c>
      <c r="L569" s="55">
        <f>ROUND((M562+M563+M564+M565+M566+M567+M568)*(1+M2/100),2)</f>
        <v>6.65</v>
      </c>
      <c r="M569" s="55">
        <f>ROUND(K569*L569,2)</f>
        <v>1064</v>
      </c>
    </row>
    <row r="570" spans="1:13">
      <c r="A570" s="79"/>
      <c r="B570" s="79"/>
      <c r="C570" s="79"/>
      <c r="D570" s="80" t="s">
        <v>1052</v>
      </c>
      <c r="E570" s="81"/>
      <c r="F570" s="81"/>
      <c r="G570" s="81"/>
      <c r="H570" s="81"/>
      <c r="I570" s="81"/>
      <c r="J570" s="81"/>
      <c r="K570" s="81"/>
      <c r="L570" s="82">
        <f>M498+M510+M518+M528+M533+M542+M550+M556+M558</f>
        <v>28834.920000000002</v>
      </c>
      <c r="M570" s="82">
        <f>ROUND(L570,2)</f>
        <v>28834.92</v>
      </c>
    </row>
    <row r="571" spans="1:13">
      <c r="A571" s="79"/>
      <c r="B571" s="79"/>
      <c r="C571" s="79"/>
      <c r="D571" s="83" t="s">
        <v>99</v>
      </c>
      <c r="E571" s="84"/>
      <c r="F571" s="84"/>
      <c r="G571" s="84"/>
      <c r="H571" s="84"/>
      <c r="I571" s="84"/>
      <c r="J571" s="84"/>
      <c r="K571" s="84"/>
      <c r="L571" s="85">
        <f>M262+M379+M496+M570</f>
        <v>95673.87000000001</v>
      </c>
      <c r="M571" s="85">
        <f>ROUND(L571,2)</f>
        <v>95673.87</v>
      </c>
    </row>
    <row r="572" spans="1:13">
      <c r="A572" s="64" t="s">
        <v>71</v>
      </c>
      <c r="B572" s="64" t="s">
        <v>428</v>
      </c>
      <c r="C572" s="65"/>
      <c r="D572" s="66" t="s">
        <v>1057</v>
      </c>
      <c r="E572" s="66"/>
      <c r="F572" s="66"/>
      <c r="G572" s="66"/>
      <c r="H572" s="66"/>
      <c r="I572" s="66"/>
      <c r="J572" s="66"/>
      <c r="K572" s="65"/>
      <c r="L572" s="67">
        <f>L575</f>
        <v>15450</v>
      </c>
      <c r="M572" s="67">
        <f>ROUND(L572,2)</f>
        <v>15450</v>
      </c>
    </row>
    <row r="573" spans="1:13">
      <c r="A573" s="34" t="s">
        <v>1058</v>
      </c>
      <c r="B573" s="35" t="s">
        <v>431</v>
      </c>
      <c r="C573" s="35" t="s">
        <v>3</v>
      </c>
      <c r="D573" s="36" t="s">
        <v>1059</v>
      </c>
      <c r="E573" s="36"/>
      <c r="F573" s="36"/>
      <c r="G573" s="36"/>
      <c r="H573" s="36"/>
      <c r="I573" s="36"/>
      <c r="J573" s="36"/>
      <c r="K573" s="37">
        <f>ROUND(1,2)</f>
        <v>1</v>
      </c>
      <c r="L573" s="38">
        <f>ROUND(15000*(1+M2/100),2)</f>
        <v>15450</v>
      </c>
      <c r="M573" s="38">
        <f>ROUND(K573*L573,2)</f>
        <v>15450</v>
      </c>
    </row>
    <row r="574" spans="1:13" ht="135">
      <c r="A574" s="39"/>
      <c r="B574" s="39"/>
      <c r="C574" s="39"/>
      <c r="D574" s="36" t="s">
        <v>1060</v>
      </c>
      <c r="E574" s="36"/>
      <c r="F574" s="36"/>
      <c r="G574" s="36"/>
      <c r="H574" s="36"/>
      <c r="I574" s="36"/>
      <c r="J574" s="36"/>
      <c r="K574" s="36"/>
      <c r="L574" s="36"/>
      <c r="M574" s="36"/>
    </row>
    <row r="575" spans="1:13">
      <c r="A575" s="52"/>
      <c r="B575" s="52"/>
      <c r="C575" s="52"/>
      <c r="D575" s="61" t="s">
        <v>71</v>
      </c>
      <c r="E575" s="62"/>
      <c r="F575" s="62"/>
      <c r="G575" s="62"/>
      <c r="H575" s="62"/>
      <c r="I575" s="62"/>
      <c r="J575" s="62"/>
      <c r="K575" s="62"/>
      <c r="L575" s="63">
        <f>M573</f>
        <v>15450</v>
      </c>
      <c r="M575" s="63">
        <f>ROUND(L575,2)</f>
        <v>15450</v>
      </c>
    </row>
    <row r="576" spans="1:13">
      <c r="A576" s="79"/>
      <c r="B576" s="79"/>
      <c r="C576" s="79"/>
      <c r="D576" s="86" t="s">
        <v>951</v>
      </c>
      <c r="E576" s="87"/>
      <c r="F576" s="87"/>
      <c r="G576" s="87"/>
      <c r="H576" s="87"/>
      <c r="I576" s="87"/>
      <c r="J576" s="87"/>
      <c r="K576" s="87"/>
      <c r="L576" s="88">
        <f>M144+M571+M575</f>
        <v>165591.28</v>
      </c>
      <c r="M576" s="88">
        <f>ROUND(L576,2)</f>
        <v>165591.28</v>
      </c>
    </row>
  </sheetData>
  <pageMargins left="0.62007900000000005" right="0.472441" top="0.472441" bottom="0.472441" header="0" footer="0"/>
  <pageSetup paperSize="9" orientation="landscape" r:id="rId1"/>
  <rowBreaks count="2" manualBreakCount="2">
    <brk max="16383" man="1"/>
    <brk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00A7-54A6-49B2-86AE-91116F3E76ED}">
  <dimension ref="A1:H48"/>
  <sheetViews>
    <sheetView topLeftCell="A33" workbookViewId="0">
      <selection activeCell="H46" activeCellId="2" sqref="H27 H38 H46"/>
    </sheetView>
  </sheetViews>
  <sheetFormatPr baseColWidth="10" defaultRowHeight="15"/>
  <cols>
    <col min="2" max="2" width="4.42578125" customWidth="1"/>
    <col min="4" max="4" width="3" bestFit="1" customWidth="1"/>
    <col min="5" max="5" width="60.42578125" customWidth="1"/>
  </cols>
  <sheetData>
    <row r="1" spans="1:8" ht="20.25">
      <c r="A1" s="16" t="s">
        <v>1069</v>
      </c>
      <c r="E1" s="1"/>
    </row>
    <row r="2" spans="1:8">
      <c r="E2" s="1"/>
    </row>
    <row r="3" spans="1:8" ht="35.25">
      <c r="A3" s="14"/>
      <c r="B3" s="14"/>
      <c r="C3" s="14"/>
      <c r="D3" s="14"/>
      <c r="E3" s="15" t="s">
        <v>414</v>
      </c>
      <c r="F3" s="14"/>
      <c r="G3" s="14"/>
      <c r="H3" s="14"/>
    </row>
    <row r="4" spans="1:8" ht="18">
      <c r="A4" s="13" t="s">
        <v>413</v>
      </c>
      <c r="B4" s="13" t="s">
        <v>412</v>
      </c>
      <c r="E4" s="1"/>
    </row>
    <row r="5" spans="1:8">
      <c r="E5" s="1"/>
    </row>
    <row r="6" spans="1:8">
      <c r="E6" s="1"/>
      <c r="F6" s="12" t="s">
        <v>411</v>
      </c>
      <c r="G6" s="12" t="s">
        <v>410</v>
      </c>
      <c r="H6" s="12" t="s">
        <v>409</v>
      </c>
    </row>
    <row r="7" spans="1:8">
      <c r="E7" s="1"/>
    </row>
    <row r="8" spans="1:8">
      <c r="E8" s="1"/>
    </row>
    <row r="9" spans="1:8">
      <c r="C9" s="11" t="s">
        <v>15</v>
      </c>
      <c r="D9" s="11" t="s">
        <v>14</v>
      </c>
      <c r="E9" s="11" t="s">
        <v>1070</v>
      </c>
    </row>
    <row r="10" spans="1:8">
      <c r="C10" s="11" t="s">
        <v>12</v>
      </c>
      <c r="D10" s="11" t="s">
        <v>1071</v>
      </c>
      <c r="E10" s="11" t="s">
        <v>1072</v>
      </c>
    </row>
    <row r="11" spans="1:8">
      <c r="C11" s="11" t="s">
        <v>9</v>
      </c>
      <c r="D11" s="11" t="s">
        <v>14</v>
      </c>
      <c r="E11" s="11" t="s">
        <v>1073</v>
      </c>
    </row>
    <row r="12" spans="1:8" ht="108">
      <c r="A12" s="9" t="s">
        <v>1075</v>
      </c>
      <c r="B12" s="10" t="s">
        <v>5</v>
      </c>
      <c r="C12" s="9"/>
      <c r="D12" s="8" t="s">
        <v>3</v>
      </c>
      <c r="E12" s="7" t="s">
        <v>1074</v>
      </c>
      <c r="F12" s="6">
        <v>8856.7899159663866</v>
      </c>
      <c r="G12" s="5">
        <v>1</v>
      </c>
      <c r="H12" s="4">
        <f>F12*G12</f>
        <v>8856.7899159663866</v>
      </c>
    </row>
    <row r="13" spans="1:8" ht="72">
      <c r="A13" s="9" t="s">
        <v>1075</v>
      </c>
      <c r="B13" s="10">
        <v>2</v>
      </c>
      <c r="C13" s="9"/>
      <c r="D13" s="8" t="s">
        <v>3</v>
      </c>
      <c r="E13" s="7" t="s">
        <v>1076</v>
      </c>
      <c r="F13" s="6">
        <v>61.050420168067234</v>
      </c>
      <c r="G13" s="5">
        <v>5</v>
      </c>
      <c r="H13" s="4">
        <f>F13*G13</f>
        <v>305.2521008403362</v>
      </c>
    </row>
    <row r="14" spans="1:8">
      <c r="A14" s="9"/>
      <c r="C14" s="11" t="s">
        <v>9</v>
      </c>
      <c r="D14" s="98" t="s">
        <v>99</v>
      </c>
      <c r="E14" s="11" t="s">
        <v>1078</v>
      </c>
    </row>
    <row r="15" spans="1:8" ht="24">
      <c r="A15" s="9" t="s">
        <v>1077</v>
      </c>
      <c r="B15" s="10" t="s">
        <v>5</v>
      </c>
      <c r="C15" s="9"/>
      <c r="D15" s="8" t="s">
        <v>3</v>
      </c>
      <c r="E15" s="7" t="s">
        <v>1079</v>
      </c>
      <c r="F15" s="6">
        <v>634.87394957983201</v>
      </c>
      <c r="G15" s="5">
        <v>31</v>
      </c>
      <c r="H15" s="4">
        <f>F15*G15</f>
        <v>19681.092436974792</v>
      </c>
    </row>
    <row r="16" spans="1:8">
      <c r="A16" s="9" t="s">
        <v>1077</v>
      </c>
      <c r="B16" s="10"/>
      <c r="C16" s="9"/>
      <c r="D16" s="8"/>
      <c r="E16" s="7" t="s">
        <v>1067</v>
      </c>
      <c r="F16" s="6">
        <v>66.453781512605048</v>
      </c>
      <c r="G16" s="5">
        <v>49</v>
      </c>
      <c r="H16" s="4">
        <f>F16*G16</f>
        <v>3256.2352941176473</v>
      </c>
    </row>
    <row r="17" spans="1:8">
      <c r="A17" s="9"/>
      <c r="C17" s="11" t="s">
        <v>9</v>
      </c>
      <c r="D17" s="98" t="s">
        <v>68</v>
      </c>
      <c r="E17" s="11" t="s">
        <v>1080</v>
      </c>
    </row>
    <row r="18" spans="1:8" ht="36">
      <c r="A18" s="9" t="s">
        <v>1090</v>
      </c>
      <c r="B18" s="10">
        <v>1</v>
      </c>
      <c r="C18" s="9"/>
      <c r="D18" s="8"/>
      <c r="E18" s="7" t="s">
        <v>1081</v>
      </c>
      <c r="F18" s="6">
        <v>1003.1512605042017</v>
      </c>
      <c r="G18" s="5">
        <v>1</v>
      </c>
      <c r="H18" s="4">
        <f t="shared" ref="H18:H20" si="0">F18*G18</f>
        <v>1003.1512605042017</v>
      </c>
    </row>
    <row r="19" spans="1:8" ht="108">
      <c r="A19" s="9" t="s">
        <v>1090</v>
      </c>
      <c r="B19" s="10">
        <v>2</v>
      </c>
      <c r="C19" s="9"/>
      <c r="D19" s="8"/>
      <c r="E19" s="7" t="s">
        <v>1082</v>
      </c>
      <c r="F19" s="6">
        <v>12704.83193277311</v>
      </c>
      <c r="G19" s="5">
        <v>1</v>
      </c>
      <c r="H19" s="4">
        <f t="shared" si="0"/>
        <v>12704.83193277311</v>
      </c>
    </row>
    <row r="20" spans="1:8" ht="24">
      <c r="A20" s="9" t="s">
        <v>1090</v>
      </c>
      <c r="B20" s="10">
        <v>3</v>
      </c>
      <c r="C20" s="9"/>
      <c r="D20" s="8"/>
      <c r="E20" s="7" t="s">
        <v>1083</v>
      </c>
      <c r="F20" s="6">
        <v>15021.008403361346</v>
      </c>
      <c r="G20" s="5">
        <v>1</v>
      </c>
      <c r="H20" s="4">
        <f t="shared" si="0"/>
        <v>15021.008403361346</v>
      </c>
    </row>
    <row r="21" spans="1:8">
      <c r="E21" s="102" t="s">
        <v>1084</v>
      </c>
      <c r="F21" s="101"/>
      <c r="G21" s="101"/>
      <c r="H21" s="100">
        <f>SUBTOTAL(9,H12:H20)</f>
        <v>60828.361344537821</v>
      </c>
    </row>
    <row r="22" spans="1:8">
      <c r="E22" s="1"/>
    </row>
    <row r="23" spans="1:8">
      <c r="C23" s="11" t="s">
        <v>15</v>
      </c>
      <c r="D23" s="11" t="s">
        <v>14</v>
      </c>
      <c r="E23" s="11" t="s">
        <v>1070</v>
      </c>
    </row>
    <row r="24" spans="1:8">
      <c r="C24" s="11" t="s">
        <v>12</v>
      </c>
      <c r="D24" s="11" t="s">
        <v>1086</v>
      </c>
      <c r="E24" s="11" t="s">
        <v>1085</v>
      </c>
    </row>
    <row r="25" spans="1:8">
      <c r="C25" s="11" t="s">
        <v>9</v>
      </c>
      <c r="D25" s="11">
        <v>1</v>
      </c>
      <c r="E25" s="11" t="s">
        <v>1087</v>
      </c>
    </row>
    <row r="26" spans="1:8" ht="84">
      <c r="A26" s="9" t="s">
        <v>1091</v>
      </c>
      <c r="B26" s="10">
        <v>1</v>
      </c>
      <c r="C26" s="9"/>
      <c r="D26" s="8"/>
      <c r="E26" s="7" t="s">
        <v>1088</v>
      </c>
      <c r="F26" s="6">
        <v>333.29411764705884</v>
      </c>
      <c r="G26" s="5">
        <v>59</v>
      </c>
      <c r="H26" s="4">
        <f t="shared" ref="H26" si="1">F26*G26</f>
        <v>19664.352941176472</v>
      </c>
    </row>
    <row r="27" spans="1:8">
      <c r="E27" s="102" t="s">
        <v>1089</v>
      </c>
      <c r="F27" s="101"/>
      <c r="G27" s="101"/>
      <c r="H27" s="100">
        <f>SUBTOTAL(9,H26)</f>
        <v>19664.352941176472</v>
      </c>
    </row>
    <row r="28" spans="1:8">
      <c r="E28" s="1"/>
    </row>
    <row r="29" spans="1:8">
      <c r="C29" s="11" t="s">
        <v>15</v>
      </c>
      <c r="D29" s="11" t="s">
        <v>14</v>
      </c>
      <c r="E29" s="11" t="s">
        <v>1070</v>
      </c>
    </row>
    <row r="30" spans="1:8">
      <c r="C30" s="11" t="s">
        <v>12</v>
      </c>
      <c r="D30" s="11" t="s">
        <v>316</v>
      </c>
      <c r="E30" s="11" t="s">
        <v>315</v>
      </c>
    </row>
    <row r="31" spans="1:8">
      <c r="C31" s="11" t="s">
        <v>9</v>
      </c>
      <c r="D31" s="11">
        <v>1</v>
      </c>
      <c r="E31" s="11" t="s">
        <v>1095</v>
      </c>
    </row>
    <row r="32" spans="1:8" ht="84">
      <c r="A32" s="9" t="s">
        <v>406</v>
      </c>
      <c r="B32" s="10">
        <v>1</v>
      </c>
      <c r="C32" s="9"/>
      <c r="D32" s="8"/>
      <c r="E32" s="7" t="s">
        <v>1092</v>
      </c>
      <c r="F32" s="6">
        <v>4655.4621848739498</v>
      </c>
      <c r="G32" s="5">
        <v>1</v>
      </c>
      <c r="H32" s="4">
        <f t="shared" ref="H32:H37" si="2">F32*G32</f>
        <v>4655.4621848739498</v>
      </c>
    </row>
    <row r="33" spans="1:8" ht="96">
      <c r="A33" s="9" t="s">
        <v>406</v>
      </c>
      <c r="B33" s="10">
        <v>2</v>
      </c>
      <c r="C33" s="9"/>
      <c r="D33" s="8"/>
      <c r="E33" s="7" t="s">
        <v>1093</v>
      </c>
      <c r="F33" s="6">
        <v>329.01680672268907</v>
      </c>
      <c r="G33" s="5">
        <v>2</v>
      </c>
      <c r="H33" s="4">
        <f t="shared" si="2"/>
        <v>658.03361344537814</v>
      </c>
    </row>
    <row r="34" spans="1:8" ht="24">
      <c r="A34" s="9" t="s">
        <v>406</v>
      </c>
      <c r="B34" s="10">
        <v>3</v>
      </c>
      <c r="C34" s="9"/>
      <c r="D34" s="8"/>
      <c r="E34" s="7" t="s">
        <v>1094</v>
      </c>
      <c r="F34" s="6">
        <v>194.0420168067227</v>
      </c>
      <c r="G34" s="5">
        <v>1</v>
      </c>
      <c r="H34" s="4">
        <f t="shared" si="2"/>
        <v>194.0420168067227</v>
      </c>
    </row>
    <row r="35" spans="1:8">
      <c r="A35" s="9"/>
      <c r="B35" s="10"/>
      <c r="C35" s="11" t="s">
        <v>9</v>
      </c>
      <c r="D35" s="98" t="s">
        <v>99</v>
      </c>
      <c r="E35" s="11" t="s">
        <v>1096</v>
      </c>
      <c r="F35" s="6"/>
      <c r="G35" s="5"/>
      <c r="H35" s="4"/>
    </row>
    <row r="36" spans="1:8" ht="24">
      <c r="A36" s="9" t="s">
        <v>1101</v>
      </c>
      <c r="B36" s="10">
        <v>1</v>
      </c>
      <c r="C36" s="9"/>
      <c r="D36" s="8"/>
      <c r="E36" s="7" t="s">
        <v>1079</v>
      </c>
      <c r="F36" s="6">
        <v>624.36974789915973</v>
      </c>
      <c r="G36" s="5">
        <v>3</v>
      </c>
      <c r="H36" s="4">
        <f t="shared" si="2"/>
        <v>1873.1092436974791</v>
      </c>
    </row>
    <row r="37" spans="1:8">
      <c r="A37" s="9" t="s">
        <v>1101</v>
      </c>
      <c r="B37" s="10">
        <v>2</v>
      </c>
      <c r="C37" s="9"/>
      <c r="D37" s="8"/>
      <c r="E37" s="7" t="s">
        <v>1067</v>
      </c>
      <c r="F37" s="6">
        <v>157.21008403361347</v>
      </c>
      <c r="G37" s="5">
        <v>15</v>
      </c>
      <c r="H37" s="4">
        <f t="shared" si="2"/>
        <v>2358.1512605042021</v>
      </c>
    </row>
    <row r="38" spans="1:8">
      <c r="E38" s="102" t="s">
        <v>1097</v>
      </c>
      <c r="F38" s="101"/>
      <c r="G38" s="101"/>
      <c r="H38" s="100">
        <f>SUBTOTAL(9,H32:H37)</f>
        <v>9738.7983193277323</v>
      </c>
    </row>
    <row r="39" spans="1:8">
      <c r="E39" s="1"/>
    </row>
    <row r="40" spans="1:8">
      <c r="C40" s="11" t="s">
        <v>15</v>
      </c>
      <c r="D40" s="11" t="s">
        <v>14</v>
      </c>
      <c r="E40" s="11" t="s">
        <v>1070</v>
      </c>
    </row>
    <row r="41" spans="1:8">
      <c r="C41" s="11" t="s">
        <v>12</v>
      </c>
      <c r="D41" s="11" t="s">
        <v>1099</v>
      </c>
      <c r="E41" s="11" t="s">
        <v>1098</v>
      </c>
    </row>
    <row r="42" spans="1:8">
      <c r="C42" s="11" t="s">
        <v>9</v>
      </c>
      <c r="D42" s="11">
        <v>1</v>
      </c>
      <c r="E42" s="11" t="s">
        <v>1103</v>
      </c>
    </row>
    <row r="43" spans="1:8" ht="72">
      <c r="A43" s="9" t="s">
        <v>1102</v>
      </c>
      <c r="B43" s="10">
        <v>1</v>
      </c>
      <c r="C43" s="9"/>
      <c r="D43" s="8"/>
      <c r="E43" s="7" t="s">
        <v>1100</v>
      </c>
      <c r="F43" s="6">
        <v>4091.0756302521013</v>
      </c>
      <c r="G43" s="5">
        <v>1</v>
      </c>
      <c r="H43" s="4">
        <f t="shared" ref="H43:H45" si="3">F43*G43</f>
        <v>4091.0756302521013</v>
      </c>
    </row>
    <row r="44" spans="1:8" ht="96">
      <c r="A44" s="9" t="s">
        <v>1102</v>
      </c>
      <c r="B44" s="10">
        <v>2</v>
      </c>
      <c r="C44" s="9"/>
      <c r="D44" s="8"/>
      <c r="E44" s="7" t="s">
        <v>1093</v>
      </c>
      <c r="F44" s="6">
        <v>369.52941176470591</v>
      </c>
      <c r="G44" s="5">
        <v>2</v>
      </c>
      <c r="H44" s="4">
        <f t="shared" si="3"/>
        <v>739.05882352941182</v>
      </c>
    </row>
    <row r="45" spans="1:8" ht="24">
      <c r="A45" s="9" t="s">
        <v>1102</v>
      </c>
      <c r="B45" s="10">
        <v>3</v>
      </c>
      <c r="C45" s="9"/>
      <c r="D45" s="8"/>
      <c r="E45" s="7" t="s">
        <v>1094</v>
      </c>
      <c r="F45" s="6">
        <v>216.61344537815125</v>
      </c>
      <c r="G45" s="5">
        <v>1</v>
      </c>
      <c r="H45" s="4">
        <f t="shared" si="3"/>
        <v>216.61344537815125</v>
      </c>
    </row>
    <row r="46" spans="1:8">
      <c r="E46" s="102" t="s">
        <v>1104</v>
      </c>
      <c r="F46" s="101"/>
      <c r="G46" s="101"/>
      <c r="H46" s="100">
        <f>SUBTOTAL(9,H43:H45)</f>
        <v>5046.7478991596645</v>
      </c>
    </row>
    <row r="48" spans="1:8" ht="24.75">
      <c r="E48" s="102" t="s">
        <v>1105</v>
      </c>
      <c r="H48" s="100">
        <f>SUBTOTAL(9,H9:H46)</f>
        <v>95278.260504201695</v>
      </c>
    </row>
  </sheetData>
  <phoneticPr fontId="2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A6DB9-CB5A-4738-B2FF-D39A01737410}">
  <dimension ref="A1:D26"/>
  <sheetViews>
    <sheetView tabSelected="1" workbookViewId="0">
      <selection activeCell="D24" sqref="D24"/>
    </sheetView>
  </sheetViews>
  <sheetFormatPr baseColWidth="10" defaultRowHeight="15"/>
  <cols>
    <col min="1" max="1" width="53.85546875" bestFit="1" customWidth="1"/>
    <col min="2" max="2" width="16" style="108" customWidth="1"/>
    <col min="10" max="10" width="15.42578125" bestFit="1" customWidth="1"/>
  </cols>
  <sheetData>
    <row r="1" spans="1:2">
      <c r="A1" s="97" t="s">
        <v>932</v>
      </c>
      <c r="B1" s="97" t="s">
        <v>933</v>
      </c>
    </row>
    <row r="2" spans="1:2" ht="25.5">
      <c r="A2" s="92" t="s">
        <v>934</v>
      </c>
      <c r="B2" s="103"/>
    </row>
    <row r="3" spans="1:2">
      <c r="A3" s="93" t="s">
        <v>935</v>
      </c>
      <c r="B3" s="104">
        <f>'Distribució Sant Antoni'!M5</f>
        <v>31476.36</v>
      </c>
    </row>
    <row r="4" spans="1:2">
      <c r="A4" s="93" t="s">
        <v>936</v>
      </c>
      <c r="B4" s="104">
        <f>'Distribució Sant Antoni'!M130</f>
        <v>176073.67</v>
      </c>
    </row>
    <row r="5" spans="1:2">
      <c r="A5" s="93" t="s">
        <v>937</v>
      </c>
      <c r="B5" s="104">
        <f>'Distribució Sant Antoni'!M508</f>
        <v>42455.83</v>
      </c>
    </row>
    <row r="6" spans="1:2" ht="25.5">
      <c r="A6" s="92" t="s">
        <v>938</v>
      </c>
      <c r="B6" s="103"/>
    </row>
    <row r="7" spans="1:2">
      <c r="A7" s="93" t="s">
        <v>935</v>
      </c>
      <c r="B7" s="104">
        <f>'Distribució Sant Gil'!M5</f>
        <v>46007.92</v>
      </c>
    </row>
    <row r="8" spans="1:2">
      <c r="A8" s="93" t="s">
        <v>936</v>
      </c>
      <c r="B8" s="104">
        <f>'Distribució Sant Gil'!M153</f>
        <v>106237.54</v>
      </c>
    </row>
    <row r="9" spans="1:2">
      <c r="A9" s="93" t="s">
        <v>937</v>
      </c>
      <c r="B9" s="104">
        <f>'Distribució Sant Gil'!M400</f>
        <v>52633.43</v>
      </c>
    </row>
    <row r="10" spans="1:2" ht="25.5">
      <c r="A10" s="92" t="s">
        <v>939</v>
      </c>
      <c r="B10" s="103"/>
    </row>
    <row r="11" spans="1:2">
      <c r="A11" s="93" t="s">
        <v>940</v>
      </c>
      <c r="B11" s="104">
        <f>'Distribució Sant Justí'!M5</f>
        <v>54467.41</v>
      </c>
    </row>
    <row r="12" spans="1:2">
      <c r="A12" s="93" t="s">
        <v>936</v>
      </c>
      <c r="B12" s="104">
        <f>'Distribució Sant Justí'!M145</f>
        <v>95673.87</v>
      </c>
    </row>
    <row r="13" spans="1:2">
      <c r="A13" s="93" t="s">
        <v>937</v>
      </c>
      <c r="B13" s="104">
        <f>'Distribució Sant Justí'!M572</f>
        <v>15450</v>
      </c>
    </row>
    <row r="14" spans="1:2">
      <c r="A14" s="92" t="s">
        <v>941</v>
      </c>
      <c r="B14" s="103"/>
    </row>
    <row r="15" spans="1:2">
      <c r="A15" s="93" t="s">
        <v>942</v>
      </c>
      <c r="B15" s="104">
        <f>'Ampliació geotermia'!H175</f>
        <v>186647.57550000001</v>
      </c>
    </row>
    <row r="16" spans="1:2">
      <c r="A16" s="93" t="s">
        <v>943</v>
      </c>
      <c r="B16" s="104">
        <f>'Ampliació geotermia'!H410</f>
        <v>456015.43999999989</v>
      </c>
    </row>
    <row r="17" spans="1:4">
      <c r="A17" s="92" t="s">
        <v>1062</v>
      </c>
      <c r="B17" s="104"/>
    </row>
    <row r="18" spans="1:4">
      <c r="A18" s="93" t="s">
        <v>1064</v>
      </c>
      <c r="B18" s="104">
        <v>60828.36</v>
      </c>
    </row>
    <row r="19" spans="1:4">
      <c r="A19" s="93" t="s">
        <v>1063</v>
      </c>
      <c r="B19" s="104">
        <v>19664.349999999999</v>
      </c>
      <c r="D19" s="100"/>
    </row>
    <row r="20" spans="1:4">
      <c r="A20" s="93" t="s">
        <v>1065</v>
      </c>
      <c r="B20" s="104">
        <v>9738.7999999999993</v>
      </c>
      <c r="D20" s="100"/>
    </row>
    <row r="21" spans="1:4">
      <c r="A21" s="93" t="s">
        <v>1066</v>
      </c>
      <c r="B21" s="104">
        <v>5046.75</v>
      </c>
      <c r="D21" s="100"/>
    </row>
    <row r="22" spans="1:4">
      <c r="A22" s="94" t="s">
        <v>944</v>
      </c>
      <c r="B22" s="105">
        <f>SUM(B2:B21)</f>
        <v>1358417.3055000002</v>
      </c>
    </row>
    <row r="23" spans="1:4">
      <c r="A23" s="95" t="s">
        <v>945</v>
      </c>
      <c r="B23" s="106">
        <f>0.13*B22</f>
        <v>176594.24971500004</v>
      </c>
    </row>
    <row r="24" spans="1:4">
      <c r="A24" s="95" t="s">
        <v>946</v>
      </c>
      <c r="B24" s="106">
        <f>0.06*B22</f>
        <v>81505.03833000001</v>
      </c>
    </row>
    <row r="25" spans="1:4">
      <c r="A25" s="96" t="s">
        <v>947</v>
      </c>
      <c r="B25" s="107">
        <f>SUM(B22:B24)</f>
        <v>1616516.5935450001</v>
      </c>
    </row>
    <row r="26" spans="1:4">
      <c r="A26" s="91"/>
    </row>
  </sheetData>
  <phoneticPr fontId="2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131D8716343F4787BB6C83E936E8FC" ma:contentTypeVersion="19" ma:contentTypeDescription="Crea un document nou" ma:contentTypeScope="" ma:versionID="f7c4e1deabcad4480322ca6537f706a5">
  <xsd:schema xmlns:xsd="http://www.w3.org/2001/XMLSchema" xmlns:xs="http://www.w3.org/2001/XMLSchema" xmlns:p="http://schemas.microsoft.com/office/2006/metadata/properties" xmlns:ns2="d05b5c50-6878-419c-aaee-f57d1b61cb07" xmlns:ns3="c4d65d83-e6de-4071-ac96-3b9ea9015942" targetNamespace="http://schemas.microsoft.com/office/2006/metadata/properties" ma:root="true" ma:fieldsID="5c296fc05eafae33ad7b80c15a4c9c53" ns2:_="" ns3:_="">
    <xsd:import namespace="d05b5c50-6878-419c-aaee-f57d1b61cb07"/>
    <xsd:import namespace="c4d65d83-e6de-4071-ac96-3b9ea90159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5b5c50-6878-419c-aaee-f57d1b61cb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6f159e05-dd76-4a0e-8ee7-6d8456fbe7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d65d83-e6de-4071-ac96-3b9ea9015942" elementFormDefault="qualified">
    <xsd:import namespace="http://schemas.microsoft.com/office/2006/documentManagement/types"/>
    <xsd:import namespace="http://schemas.microsoft.com/office/infopath/2007/PartnerControls"/>
    <xsd:element name="SharedWithUsers" ma:index="19"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 compartit amb detalls" ma:internalName="SharedWithDetails" ma:readOnly="true">
      <xsd:simpleType>
        <xsd:restriction base="dms:Note">
          <xsd:maxLength value="255"/>
        </xsd:restriction>
      </xsd:simpleType>
    </xsd:element>
    <xsd:element name="TaxCatchAll" ma:index="23" nillable="true" ma:displayName="Taxonomy Catch All Column" ma:hidden="true" ma:list="{c60e8459-a743-4076-9694-5a4fd6679667}" ma:internalName="TaxCatchAll" ma:showField="CatchAllData" ma:web="c4d65d83-e6de-4071-ac96-3b9ea90159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5b5c50-6878-419c-aaee-f57d1b61cb07">
      <Terms xmlns="http://schemas.microsoft.com/office/infopath/2007/PartnerControls"/>
    </lcf76f155ced4ddcb4097134ff3c332f>
    <TaxCatchAll xmlns="c4d65d83-e6de-4071-ac96-3b9ea9015942" xsi:nil="true"/>
  </documentManagement>
</p:properties>
</file>

<file path=customXml/itemProps1.xml><?xml version="1.0" encoding="utf-8"?>
<ds:datastoreItem xmlns:ds="http://schemas.openxmlformats.org/officeDocument/2006/customXml" ds:itemID="{644903A8-399A-4CAD-BA63-073E4DC3411A}">
  <ds:schemaRefs>
    <ds:schemaRef ds:uri="http://schemas.microsoft.com/sharepoint/v3/contenttype/forms"/>
  </ds:schemaRefs>
</ds:datastoreItem>
</file>

<file path=customXml/itemProps2.xml><?xml version="1.0" encoding="utf-8"?>
<ds:datastoreItem xmlns:ds="http://schemas.openxmlformats.org/officeDocument/2006/customXml" ds:itemID="{28CA0042-BCF2-49BF-ACC2-F38DD5860C60}"/>
</file>

<file path=customXml/itemProps3.xml><?xml version="1.0" encoding="utf-8"?>
<ds:datastoreItem xmlns:ds="http://schemas.openxmlformats.org/officeDocument/2006/customXml" ds:itemID="{7BABC491-4E93-4CDB-BBD8-D648B1CBCCC2}">
  <ds:schemaRefs>
    <ds:schemaRef ds:uri="http://schemas.microsoft.com/office/2006/metadata/properties"/>
    <ds:schemaRef ds:uri="http://schemas.microsoft.com/office/infopath/2007/PartnerControls"/>
    <ds:schemaRef ds:uri="488d555c-bd00-42d9-a795-f7831939e2d0"/>
    <ds:schemaRef ds:uri="ba80fd5c-1af7-4955-a517-6c43cc1ed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Ampliació geotermia</vt:lpstr>
      <vt:lpstr>Distribució Sant Antoni</vt:lpstr>
      <vt:lpstr>Distribució Sant Gil</vt:lpstr>
      <vt:lpstr>Distribució Sant Justí</vt:lpstr>
      <vt:lpstr>Control geotèrmia</vt:lpstr>
      <vt:lpstr>Taula resum</vt:lpstr>
      <vt:lpstr>'Ampliació geotermia'!Títulos_a_imprimir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Dominguez de Andres, Ruben</dc:creator>
  <cp:lastModifiedBy>Dominguez de Andres, Ruben</cp:lastModifiedBy>
  <dcterms:created xsi:type="dcterms:W3CDTF">2024-02-21T08:03:03Z</dcterms:created>
  <dcterms:modified xsi:type="dcterms:W3CDTF">2024-02-22T00:55:14Z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0x010100425E55F56330F7459DE6BBCB4CAB00DB</vt:lpwstr>
  </property>
  <property fmtid="{D5CDD505-2E9C-101B-9397-08002B2CF9AE}" pid="3" name="MediaServiceImageTags">
    <vt:lpwstr/>
  </property>
</Properties>
</file>