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A.Gestió Next Generation\Serveis Socials\Alt Penedès\L 2\Licitació\"/>
    </mc:Choice>
  </mc:AlternateContent>
  <xr:revisionPtr revIDLastSave="0" documentId="13_ncr:1_{16714552-BD3B-44A9-B040-E2A376041D21}" xr6:coauthVersionLast="47" xr6:coauthVersionMax="47" xr10:uidLastSave="{00000000-0000-0000-0000-000000000000}"/>
  <bookViews>
    <workbookView xWindow="-120" yWindow="-120" windowWidth="29040" windowHeight="15840" tabRatio="831" activeTab="3" xr2:uid="{138F52E6-4432-4BAE-BCB7-0516F7504236}"/>
  </bookViews>
  <sheets>
    <sheet name="Oferta" sheetId="10" r:id="rId1"/>
    <sheet name="Implantació equipament" sheetId="3" r:id="rId2"/>
    <sheet name="Cost pròrroga i modificació" sheetId="8" r:id="rId3"/>
    <sheet name="Matriu valoració del preu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0" l="1"/>
  <c r="B24" i="11"/>
  <c r="B46" i="11" s="1"/>
  <c r="B3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D35" i="11" s="1"/>
  <c r="F35" i="11" s="1"/>
  <c r="H12" i="11"/>
  <c r="H11" i="11"/>
  <c r="H10" i="11"/>
  <c r="H9" i="11"/>
  <c r="H8" i="11"/>
  <c r="H6" i="11"/>
  <c r="K35" i="11" l="1"/>
  <c r="J35" i="11"/>
  <c r="M35" i="11"/>
  <c r="L35" i="11"/>
  <c r="H35" i="11"/>
  <c r="I35" i="11"/>
  <c r="E93" i="3"/>
  <c r="C80" i="3"/>
  <c r="C79" i="3"/>
  <c r="C78" i="3"/>
  <c r="C77" i="3"/>
  <c r="C59" i="3"/>
  <c r="C58" i="3"/>
  <c r="C57" i="3"/>
  <c r="C56" i="3"/>
  <c r="E50" i="3"/>
  <c r="E43" i="3"/>
  <c r="C17" i="3"/>
  <c r="C16" i="3"/>
  <c r="C15" i="3"/>
  <c r="C14" i="3"/>
  <c r="C13" i="3"/>
  <c r="E9" i="3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C28" i="10" l="1"/>
  <c r="F24" i="11" l="1"/>
  <c r="F13" i="11"/>
  <c r="B13" i="11"/>
  <c r="C23" i="3"/>
  <c r="C22" i="3"/>
  <c r="C21" i="3"/>
  <c r="C18" i="8" l="1"/>
  <c r="B18" i="8"/>
  <c r="C96" i="3"/>
  <c r="E96" i="3" s="1"/>
  <c r="E106" i="3" s="1"/>
  <c r="B6" i="11"/>
  <c r="B29" i="11" s="1"/>
  <c r="D116" i="3" l="1"/>
  <c r="F106" i="3"/>
  <c r="G106" i="3" s="1"/>
  <c r="P24" i="11" l="1"/>
  <c r="T24" i="11"/>
  <c r="Q24" i="11"/>
  <c r="E116" i="3"/>
  <c r="D46" i="11" l="1"/>
  <c r="F46" i="11" s="1"/>
  <c r="M46" i="11" s="1"/>
  <c r="U24" i="11"/>
  <c r="S24" i="11"/>
  <c r="R24" i="11"/>
  <c r="R13" i="11" l="1"/>
  <c r="J46" i="11"/>
  <c r="H46" i="11"/>
  <c r="I46" i="11"/>
  <c r="K46" i="11"/>
  <c r="L46" i="11"/>
  <c r="F12" i="11"/>
  <c r="F11" i="11"/>
  <c r="F10" i="11"/>
  <c r="F9" i="11"/>
  <c r="B12" i="11"/>
  <c r="B34" i="11" s="1"/>
  <c r="B11" i="11"/>
  <c r="B33" i="11" s="1"/>
  <c r="B10" i="11"/>
  <c r="B32" i="11" s="1"/>
  <c r="B9" i="11"/>
  <c r="B31" i="11" s="1"/>
  <c r="F23" i="11"/>
  <c r="B23" i="11"/>
  <c r="B45" i="11" s="1"/>
  <c r="F22" i="11"/>
  <c r="B22" i="11"/>
  <c r="B44" i="11" s="1"/>
  <c r="F21" i="11"/>
  <c r="B21" i="11"/>
  <c r="B43" i="11" s="1"/>
  <c r="F20" i="11"/>
  <c r="B20" i="11"/>
  <c r="B42" i="11" s="1"/>
  <c r="F19" i="11"/>
  <c r="B19" i="11"/>
  <c r="B41" i="11" s="1"/>
  <c r="F18" i="11"/>
  <c r="B18" i="11"/>
  <c r="B40" i="11" s="1"/>
  <c r="F17" i="11"/>
  <c r="B17" i="11"/>
  <c r="B39" i="11" s="1"/>
  <c r="F16" i="11"/>
  <c r="B16" i="11"/>
  <c r="B38" i="11" s="1"/>
  <c r="B15" i="11"/>
  <c r="B37" i="11" s="1"/>
  <c r="B8" i="11"/>
  <c r="B30" i="11" s="1"/>
  <c r="C53" i="3"/>
  <c r="E53" i="3" s="1"/>
  <c r="E103" i="3" s="1"/>
  <c r="F103" i="3" s="1"/>
  <c r="B17" i="8"/>
  <c r="F63" i="3"/>
  <c r="F70" i="3" s="1"/>
  <c r="E63" i="3"/>
  <c r="E70" i="3" s="1"/>
  <c r="D63" i="3"/>
  <c r="D70" i="3" s="1"/>
  <c r="C63" i="3"/>
  <c r="C70" i="3" s="1"/>
  <c r="C113" i="3"/>
  <c r="F65" i="3"/>
  <c r="F72" i="3" s="1"/>
  <c r="F62" i="3"/>
  <c r="F69" i="3" s="1"/>
  <c r="E65" i="3"/>
  <c r="E72" i="3" s="1"/>
  <c r="E62" i="3"/>
  <c r="E69" i="3" s="1"/>
  <c r="D65" i="3"/>
  <c r="D72" i="3" s="1"/>
  <c r="D62" i="3"/>
  <c r="D69" i="3" s="1"/>
  <c r="C65" i="3"/>
  <c r="C72" i="3" s="1"/>
  <c r="C62" i="3"/>
  <c r="C86" i="3" s="1"/>
  <c r="C46" i="3"/>
  <c r="D46" i="3" s="1"/>
  <c r="E46" i="3" s="1"/>
  <c r="F46" i="3" s="1"/>
  <c r="F102" i="3" s="1"/>
  <c r="F31" i="3"/>
  <c r="F29" i="3"/>
  <c r="E31" i="3"/>
  <c r="E29" i="3"/>
  <c r="D31" i="3"/>
  <c r="D29" i="3"/>
  <c r="C31" i="3"/>
  <c r="C29" i="3"/>
  <c r="C26" i="3"/>
  <c r="T13" i="11" l="1"/>
  <c r="P13" i="11"/>
  <c r="U13" i="11"/>
  <c r="S13" i="11"/>
  <c r="Q13" i="11"/>
  <c r="B14" i="11"/>
  <c r="B36" i="11" s="1"/>
  <c r="D34" i="3"/>
  <c r="F34" i="3"/>
  <c r="E36" i="3"/>
  <c r="D36" i="3"/>
  <c r="F36" i="3"/>
  <c r="E34" i="3"/>
  <c r="G62" i="3"/>
  <c r="C13" i="8" s="1"/>
  <c r="G63" i="3"/>
  <c r="C14" i="8" s="1"/>
  <c r="C19" i="8"/>
  <c r="F14" i="11"/>
  <c r="G65" i="3"/>
  <c r="C16" i="8" s="1"/>
  <c r="F15" i="11"/>
  <c r="C17" i="8"/>
  <c r="C87" i="3"/>
  <c r="D87" i="3"/>
  <c r="E87" i="3"/>
  <c r="F87" i="3"/>
  <c r="G87" i="3"/>
  <c r="C64" i="3"/>
  <c r="D64" i="3"/>
  <c r="E88" i="3" s="1"/>
  <c r="E64" i="3"/>
  <c r="E66" i="3" s="1"/>
  <c r="F64" i="3"/>
  <c r="G88" i="3" s="1"/>
  <c r="H29" i="3"/>
  <c r="C34" i="3"/>
  <c r="H31" i="3"/>
  <c r="C36" i="3"/>
  <c r="D102" i="3"/>
  <c r="E102" i="3"/>
  <c r="D86" i="3"/>
  <c r="C102" i="3"/>
  <c r="C112" i="3" s="1"/>
  <c r="E89" i="3"/>
  <c r="F86" i="3"/>
  <c r="G86" i="3"/>
  <c r="F89" i="3"/>
  <c r="D89" i="3"/>
  <c r="C89" i="3"/>
  <c r="E86" i="3"/>
  <c r="G89" i="3"/>
  <c r="C69" i="3"/>
  <c r="E30" i="3"/>
  <c r="E35" i="3" s="1"/>
  <c r="F30" i="3"/>
  <c r="F35" i="3" s="1"/>
  <c r="D30" i="3"/>
  <c r="D35" i="3" s="1"/>
  <c r="C30" i="3"/>
  <c r="C37" i="3" l="1"/>
  <c r="F8" i="11"/>
  <c r="G64" i="3"/>
  <c r="C15" i="8" s="1"/>
  <c r="H30" i="3"/>
  <c r="G13" i="3" s="1"/>
  <c r="C35" i="3"/>
  <c r="G103" i="3"/>
  <c r="D112" i="3"/>
  <c r="E112" i="3" s="1"/>
  <c r="D113" i="3"/>
  <c r="E113" i="3" s="1"/>
  <c r="G102" i="3"/>
  <c r="E90" i="3"/>
  <c r="D105" i="3" s="1"/>
  <c r="C88" i="3"/>
  <c r="D88" i="3"/>
  <c r="D90" i="3" s="1"/>
  <c r="E71" i="3"/>
  <c r="E73" i="3" s="1"/>
  <c r="E104" i="3" s="1"/>
  <c r="F88" i="3"/>
  <c r="F90" i="3" s="1"/>
  <c r="E105" i="3" s="1"/>
  <c r="G90" i="3"/>
  <c r="F105" i="3" s="1"/>
  <c r="C66" i="3"/>
  <c r="C71" i="3"/>
  <c r="F66" i="3"/>
  <c r="F71" i="3"/>
  <c r="F73" i="3" s="1"/>
  <c r="F104" i="3" s="1"/>
  <c r="D66" i="3"/>
  <c r="D71" i="3"/>
  <c r="D73" i="3" s="1"/>
  <c r="D104" i="3" s="1"/>
  <c r="G17" i="3" l="1"/>
  <c r="G15" i="3"/>
  <c r="C8" i="8"/>
  <c r="G16" i="3"/>
  <c r="G14" i="3"/>
  <c r="C38" i="3"/>
  <c r="C101" i="3" s="1"/>
  <c r="C90" i="3"/>
  <c r="C115" i="3" s="1"/>
  <c r="C73" i="3"/>
  <c r="C104" i="3" s="1"/>
  <c r="C114" i="3" s="1"/>
  <c r="D114" i="3"/>
  <c r="D115" i="3"/>
  <c r="C12" i="8" l="1"/>
  <c r="C10" i="8"/>
  <c r="C9" i="8"/>
  <c r="C11" i="8"/>
  <c r="G104" i="3"/>
  <c r="E114" i="3"/>
  <c r="C105" i="3"/>
  <c r="G105" i="3" s="1"/>
  <c r="E115" i="3"/>
  <c r="C111" i="3"/>
  <c r="C117" i="3" s="1"/>
  <c r="C107" i="3" l="1"/>
  <c r="T22" i="11"/>
  <c r="Q18" i="11"/>
  <c r="Q11" i="11"/>
  <c r="R23" i="11"/>
  <c r="P19" i="11"/>
  <c r="P12" i="11"/>
  <c r="R17" i="11"/>
  <c r="P21" i="11"/>
  <c r="P20" i="11"/>
  <c r="T19" i="11" l="1"/>
  <c r="T18" i="11"/>
  <c r="S22" i="11"/>
  <c r="P11" i="11"/>
  <c r="D34" i="11"/>
  <c r="F34" i="11" s="1"/>
  <c r="L34" i="11" s="1"/>
  <c r="R12" i="11"/>
  <c r="D33" i="11"/>
  <c r="F33" i="11" s="1"/>
  <c r="L33" i="11" s="1"/>
  <c r="P22" i="11"/>
  <c r="T12" i="11"/>
  <c r="P23" i="11"/>
  <c r="T11" i="11"/>
  <c r="Q19" i="11"/>
  <c r="T20" i="11"/>
  <c r="T17" i="11"/>
  <c r="S20" i="11"/>
  <c r="Q17" i="11"/>
  <c r="S18" i="11"/>
  <c r="R11" i="11"/>
  <c r="Q20" i="11"/>
  <c r="T9" i="11"/>
  <c r="U9" i="11"/>
  <c r="D31" i="11"/>
  <c r="F31" i="11" s="1"/>
  <c r="S9" i="11"/>
  <c r="Q9" i="11"/>
  <c r="U10" i="11"/>
  <c r="D32" i="11"/>
  <c r="F32" i="11" s="1"/>
  <c r="Q10" i="11"/>
  <c r="P10" i="11"/>
  <c r="R10" i="11"/>
  <c r="S10" i="11"/>
  <c r="U16" i="11"/>
  <c r="S16" i="11"/>
  <c r="T16" i="11"/>
  <c r="U22" i="11"/>
  <c r="D42" i="11"/>
  <c r="F42" i="11" s="1"/>
  <c r="K42" i="11" s="1"/>
  <c r="Q21" i="11"/>
  <c r="P9" i="11"/>
  <c r="P16" i="11"/>
  <c r="T14" i="11"/>
  <c r="U23" i="11"/>
  <c r="S23" i="11"/>
  <c r="Q23" i="11"/>
  <c r="T10" i="11"/>
  <c r="U19" i="11"/>
  <c r="R19" i="11"/>
  <c r="S19" i="11"/>
  <c r="D45" i="11"/>
  <c r="F45" i="11" s="1"/>
  <c r="Q22" i="11"/>
  <c r="D40" i="11"/>
  <c r="F40" i="11" s="1"/>
  <c r="U18" i="11"/>
  <c r="P18" i="11"/>
  <c r="R20" i="11"/>
  <c r="D41" i="11"/>
  <c r="F41" i="11" s="1"/>
  <c r="M41" i="11" s="1"/>
  <c r="R9" i="11"/>
  <c r="D38" i="11"/>
  <c r="F38" i="11" s="1"/>
  <c r="R15" i="11"/>
  <c r="U17" i="11"/>
  <c r="P17" i="11"/>
  <c r="D39" i="11"/>
  <c r="F39" i="11" s="1"/>
  <c r="M39" i="11" s="1"/>
  <c r="S17" i="11"/>
  <c r="R16" i="11"/>
  <c r="D44" i="11"/>
  <c r="F44" i="11" s="1"/>
  <c r="U12" i="11"/>
  <c r="Q12" i="11"/>
  <c r="S12" i="11"/>
  <c r="T23" i="11"/>
  <c r="H33" i="11"/>
  <c r="U11" i="11"/>
  <c r="S11" i="11"/>
  <c r="R18" i="11"/>
  <c r="R22" i="11"/>
  <c r="Q16" i="11"/>
  <c r="U21" i="11"/>
  <c r="S21" i="11"/>
  <c r="D43" i="11"/>
  <c r="F43" i="11" s="1"/>
  <c r="M43" i="11" s="1"/>
  <c r="T21" i="11"/>
  <c r="R21" i="11"/>
  <c r="U20" i="11"/>
  <c r="H42" i="11"/>
  <c r="M33" i="11" l="1"/>
  <c r="R14" i="11"/>
  <c r="L42" i="11"/>
  <c r="K34" i="11"/>
  <c r="I42" i="11"/>
  <c r="D36" i="11"/>
  <c r="F36" i="11" s="1"/>
  <c r="I36" i="11" s="1"/>
  <c r="H34" i="11"/>
  <c r="J34" i="11"/>
  <c r="J42" i="11"/>
  <c r="M42" i="11"/>
  <c r="M34" i="11"/>
  <c r="I34" i="11"/>
  <c r="J33" i="11"/>
  <c r="K33" i="11"/>
  <c r="I33" i="11"/>
  <c r="H44" i="11"/>
  <c r="I44" i="11"/>
  <c r="J44" i="11"/>
  <c r="K44" i="11"/>
  <c r="L44" i="11"/>
  <c r="H40" i="11"/>
  <c r="I40" i="11"/>
  <c r="J40" i="11"/>
  <c r="K40" i="11"/>
  <c r="L40" i="11"/>
  <c r="M32" i="11"/>
  <c r="H32" i="11"/>
  <c r="I32" i="11"/>
  <c r="J32" i="11"/>
  <c r="K32" i="11"/>
  <c r="L32" i="11"/>
  <c r="M44" i="11"/>
  <c r="H31" i="11"/>
  <c r="I31" i="11"/>
  <c r="J31" i="11"/>
  <c r="K31" i="11"/>
  <c r="L31" i="11"/>
  <c r="H39" i="11"/>
  <c r="I39" i="11"/>
  <c r="J39" i="11"/>
  <c r="K39" i="11"/>
  <c r="L39" i="11"/>
  <c r="H38" i="11"/>
  <c r="I38" i="11"/>
  <c r="J38" i="11"/>
  <c r="K38" i="11"/>
  <c r="L38" i="11"/>
  <c r="P15" i="11"/>
  <c r="U15" i="11"/>
  <c r="S15" i="11"/>
  <c r="Q15" i="11"/>
  <c r="D37" i="11"/>
  <c r="F37" i="11" s="1"/>
  <c r="M40" i="11"/>
  <c r="H45" i="11"/>
  <c r="I45" i="11"/>
  <c r="J45" i="11"/>
  <c r="K45" i="11"/>
  <c r="L45" i="11"/>
  <c r="S14" i="11"/>
  <c r="U14" i="11"/>
  <c r="P14" i="11"/>
  <c r="Q14" i="11"/>
  <c r="M31" i="11"/>
  <c r="T15" i="11"/>
  <c r="H41" i="11"/>
  <c r="I41" i="11"/>
  <c r="J41" i="11"/>
  <c r="K41" i="11"/>
  <c r="L41" i="11"/>
  <c r="M45" i="11"/>
  <c r="T8" i="11"/>
  <c r="M38" i="11"/>
  <c r="H43" i="11"/>
  <c r="I43" i="11"/>
  <c r="J43" i="11"/>
  <c r="K43" i="11"/>
  <c r="L43" i="11"/>
  <c r="K36" i="11" l="1"/>
  <c r="J36" i="11"/>
  <c r="H36" i="11"/>
  <c r="L36" i="11"/>
  <c r="M36" i="11"/>
  <c r="U8" i="11"/>
  <c r="P8" i="11"/>
  <c r="Q8" i="11"/>
  <c r="S8" i="11"/>
  <c r="D30" i="11"/>
  <c r="F30" i="11" s="1"/>
  <c r="R8" i="11"/>
  <c r="H37" i="11"/>
  <c r="I37" i="11"/>
  <c r="J37" i="11"/>
  <c r="K37" i="11"/>
  <c r="L37" i="11"/>
  <c r="M37" i="11"/>
  <c r="D2" i="3"/>
  <c r="E3" i="3" s="1"/>
  <c r="H30" i="11" l="1"/>
  <c r="I30" i="11"/>
  <c r="J30" i="11"/>
  <c r="K30" i="11"/>
  <c r="L30" i="11"/>
  <c r="M30" i="11"/>
  <c r="D3" i="3"/>
  <c r="E4" i="3" s="1"/>
  <c r="D26" i="3"/>
  <c r="D37" i="3" s="1"/>
  <c r="D38" i="3" s="1"/>
  <c r="D4" i="3" l="1"/>
  <c r="E26" i="3"/>
  <c r="E5" i="3" l="1"/>
  <c r="F26" i="3" s="1"/>
  <c r="E37" i="3"/>
  <c r="E38" i="3" s="1"/>
  <c r="D5" i="3"/>
  <c r="C4" i="8" s="1"/>
  <c r="C7" i="8" s="1"/>
  <c r="D101" i="3"/>
  <c r="D107" i="3" s="1"/>
  <c r="F37" i="3" l="1"/>
  <c r="F38" i="3" s="1"/>
  <c r="F101" i="3" s="1"/>
  <c r="F107" i="3" s="1"/>
  <c r="H26" i="3"/>
  <c r="C20" i="8"/>
  <c r="E101" i="3"/>
  <c r="E107" i="3" s="1"/>
  <c r="D30" i="10" l="1"/>
  <c r="C21" i="8"/>
  <c r="C22" i="8" s="1"/>
  <c r="D111" i="3"/>
  <c r="G101" i="3"/>
  <c r="G107" i="3" s="1"/>
  <c r="C39" i="3"/>
  <c r="E30" i="10" l="1"/>
  <c r="D31" i="10"/>
  <c r="D32" i="10" s="1"/>
  <c r="D33" i="10" s="1"/>
  <c r="E111" i="3"/>
  <c r="E117" i="3" s="1"/>
  <c r="C29" i="10" s="1"/>
  <c r="C31" i="10" s="1"/>
  <c r="D117" i="3"/>
  <c r="C32" i="10" l="1"/>
  <c r="C33" i="10" s="1"/>
  <c r="F30" i="10"/>
  <c r="F31" i="10" s="1"/>
  <c r="F32" i="10" s="1"/>
  <c r="F33" i="10" s="1"/>
  <c r="E31" i="10"/>
  <c r="E32" i="10" s="1"/>
  <c r="E33" i="10" s="1"/>
  <c r="C34" i="10" l="1"/>
  <c r="C36" i="10"/>
  <c r="Q6" i="11" l="1"/>
  <c r="Q26" i="11" s="1"/>
  <c r="T6" i="11"/>
  <c r="T26" i="11" s="1"/>
  <c r="P6" i="11" l="1"/>
  <c r="P26" i="11" s="1"/>
  <c r="D29" i="11"/>
  <c r="F29" i="11" s="1"/>
  <c r="K29" i="11" s="1"/>
  <c r="R6" i="11"/>
  <c r="R26" i="11" s="1"/>
  <c r="U6" i="11"/>
  <c r="U26" i="11" s="1"/>
  <c r="S6" i="11"/>
  <c r="S26" i="11" s="1"/>
  <c r="J29" i="11" l="1"/>
  <c r="M29" i="11"/>
  <c r="I29" i="11"/>
  <c r="H29" i="11"/>
  <c r="L29" i="11"/>
</calcChain>
</file>

<file path=xl/sharedStrings.xml><?xml version="1.0" encoding="utf-8"?>
<sst xmlns="http://schemas.openxmlformats.org/spreadsheetml/2006/main" count="242" uniqueCount="178">
  <si>
    <t>Total</t>
  </si>
  <si>
    <t>Cost 1a fase</t>
  </si>
  <si>
    <t>Cost 2a Fase</t>
  </si>
  <si>
    <t>Cost 3a Fase</t>
  </si>
  <si>
    <t>Nombre de domicilis 1a fase</t>
  </si>
  <si>
    <t>Nombre de domicilis 2a fase</t>
  </si>
  <si>
    <t>TOTAL PER FASES</t>
  </si>
  <si>
    <t>Nombre de domicilis 3a fase</t>
  </si>
  <si>
    <t>Cost 4a Fase</t>
  </si>
  <si>
    <t>Nombre sensors 1a fase</t>
  </si>
  <si>
    <t>Nombre sensors 2a fase</t>
  </si>
  <si>
    <t>Nombre sensors 3a fase</t>
  </si>
  <si>
    <t>Nombre sensors 4a fase</t>
  </si>
  <si>
    <t>Preu unitari</t>
  </si>
  <si>
    <t>1a fase</t>
  </si>
  <si>
    <t>2a fase</t>
  </si>
  <si>
    <t>3a fase</t>
  </si>
  <si>
    <t>4a fase</t>
  </si>
  <si>
    <t>Formació SAD</t>
  </si>
  <si>
    <t>IVA (21%)</t>
  </si>
  <si>
    <t>TOTAL IVA INCLÒS</t>
  </si>
  <si>
    <t>Kit 2 de sensors</t>
  </si>
  <si>
    <t>Kit 3 de sensors</t>
  </si>
  <si>
    <t xml:space="preserve">Nombre de domicilis 4a fase </t>
  </si>
  <si>
    <t>Per fases</t>
  </si>
  <si>
    <t>Acumulats</t>
  </si>
  <si>
    <t>Domicilis per Fase</t>
  </si>
  <si>
    <t>D</t>
  </si>
  <si>
    <t>F</t>
  </si>
  <si>
    <t>A</t>
  </si>
  <si>
    <t>Percentatge anual de renovacions per baixes en usuaris/es</t>
  </si>
  <si>
    <t>Proporcions tipus de connexió a internet</t>
  </si>
  <si>
    <t>Proporcions tipus kits de sensors instal·lats</t>
  </si>
  <si>
    <t>Kit 1 de sensors</t>
  </si>
  <si>
    <t>Nombre de vivendes (inclou renovacions)</t>
  </si>
  <si>
    <t>Pressupost subministrament i instal·lació sensors per fases</t>
  </si>
  <si>
    <t>Implantació de l'equipament i sensors en llars</t>
  </si>
  <si>
    <t>Determinació cost unitari formació a SAD</t>
  </si>
  <si>
    <t>Pressupost Formació a SAD</t>
  </si>
  <si>
    <t>Cost per fase</t>
  </si>
  <si>
    <t>Anualitat 2024</t>
  </si>
  <si>
    <t>Anualitat 2025</t>
  </si>
  <si>
    <t>Implantació de l'equipament a les llars</t>
  </si>
  <si>
    <t>Pressupost instal·lació connexió a internet (material+instal·lació)</t>
  </si>
  <si>
    <t>Nombre d'instal·lacions de cada tipus de connexió per fase</t>
  </si>
  <si>
    <t>Fase 1</t>
  </si>
  <si>
    <t>Fase 2</t>
  </si>
  <si>
    <t>Fase 3</t>
  </si>
  <si>
    <t>Fase 4</t>
  </si>
  <si>
    <t>Nombre instal·lacions tipus 1 (Connexió fibra o banda ampla a la llar)</t>
  </si>
  <si>
    <t>Nombre instal·lacions tipus 2 (Connexió connexió mitjançant sistema ràdio)</t>
  </si>
  <si>
    <t>Cost instal·lació tipus 1 (Connexió fibra o banda ampla a la llar) per fase</t>
  </si>
  <si>
    <t xml:space="preserve">Nombre instal·lacions tipus 3 (Connexió mitjançant satèl·lit) </t>
  </si>
  <si>
    <t>Determinació cost unitari connexió a internet (Quota mensual)</t>
  </si>
  <si>
    <t>Nombre de mesos mitjà de quota per fase</t>
  </si>
  <si>
    <t>Quota per fase i connexió tipus 1</t>
  </si>
  <si>
    <t>Quota per fase i connexió tipus 2</t>
  </si>
  <si>
    <t>Quota per fase i connexió tipus 3</t>
  </si>
  <si>
    <t>Cost connexions internet (Quota) per fase i tipus de connexió</t>
  </si>
  <si>
    <t>Fase 1 (2024)</t>
  </si>
  <si>
    <t>Fase 1 (2025)</t>
  </si>
  <si>
    <t>Subministrament i instal·lació de sensors</t>
  </si>
  <si>
    <t>RESUM PER FASES</t>
  </si>
  <si>
    <t>Instal·lació connexions a internet</t>
  </si>
  <si>
    <t>Cost connexió a internet</t>
  </si>
  <si>
    <t>RESUM PER ANUALITATS</t>
  </si>
  <si>
    <t>Nombre d'instal·lacions en vivendes per fases</t>
  </si>
  <si>
    <t>Nombre inst 1a fase</t>
  </si>
  <si>
    <t>Nombre inst 2a fase</t>
  </si>
  <si>
    <t>Nombre inst 3a fase</t>
  </si>
  <si>
    <t>Nombre inst 4a fase</t>
  </si>
  <si>
    <t xml:space="preserve">Subministrament Kit 1 sensors </t>
  </si>
  <si>
    <t xml:space="preserve">Subministrament Kit 2 sensors </t>
  </si>
  <si>
    <t xml:space="preserve">Subministrament Kit 3 sensors </t>
  </si>
  <si>
    <t>Instal·lació sensors</t>
  </si>
  <si>
    <t>Percentatge connexions mitjançant fibra o banda ampla - tipus 1</t>
  </si>
  <si>
    <t>Percentatge connexions mitjançant sistema telefonia mòbil - tipus 2</t>
  </si>
  <si>
    <t>Percentatge connexions mitjançant sistema ràdio - tipus 3</t>
  </si>
  <si>
    <t>Percentatge connexions mitjançant sistema per satèl·lit - tipus 4</t>
  </si>
  <si>
    <t>Nombre instal·lacions tipus 2 (Connexió per telefonia mòbil 5G)</t>
  </si>
  <si>
    <t>Determinació cost unitari instal·lació connexió a internet (material)</t>
  </si>
  <si>
    <t>Cost instal·lació tipus 2 (Connexió per telefonia mòbil 5G) per fase</t>
  </si>
  <si>
    <t>Cost instal·lació tipus 3 (Connexió connexió mitjançant sistema ràdio) per fase</t>
  </si>
  <si>
    <t>Cost instal·lació tipus 4 (Connexió mitjançant satèl·lit)per fase</t>
  </si>
  <si>
    <t>Quota per fase i connexió tipus 4</t>
  </si>
  <si>
    <t>Cost 1a fase 2024</t>
  </si>
  <si>
    <t>Cost 1a fase 2025</t>
  </si>
  <si>
    <t>Taxa anual de renovació equips sensors</t>
  </si>
  <si>
    <t>Cost instal·lació renovacions equips de les llars</t>
  </si>
  <si>
    <t>Quotes Connexió mitjançant fibra òptica tipus 1</t>
  </si>
  <si>
    <t>Quotes Connexió mitjançant via satèl·lit tipus 4</t>
  </si>
  <si>
    <t>Quotes Connexió mitjançant sistema ràdio tipus 3</t>
  </si>
  <si>
    <t xml:space="preserve">Nombre mesos mitjans de quota d'internet per fase </t>
  </si>
  <si>
    <t>Formació SAD (2 vegades)</t>
  </si>
  <si>
    <t>Total import de la pròrroga</t>
  </si>
  <si>
    <t>Nombre de renovacions any 2026 - pròrroga</t>
  </si>
  <si>
    <t>Total import de la pròrroga IVA inclòs</t>
  </si>
  <si>
    <t>Percentatge kit 1 de sensors - bàsic</t>
  </si>
  <si>
    <t>Percentatge kit 2 de sensors - mitjà</t>
  </si>
  <si>
    <t>Percentatge kit 3 de sensors - complert</t>
  </si>
  <si>
    <t>Import per kit</t>
  </si>
  <si>
    <t>IVA 21%</t>
  </si>
  <si>
    <t>Sensor PIR (PREU UNITARI 3)</t>
  </si>
  <si>
    <t>Sensor porta (PREU UNITARI 4)</t>
  </si>
  <si>
    <t>Import per element</t>
  </si>
  <si>
    <t>unitats totals</t>
  </si>
  <si>
    <t>Cost reposició Sensor PIR</t>
  </si>
  <si>
    <t>Cost reposició sensor porta</t>
  </si>
  <si>
    <t>Cost reposició sensor Humitat</t>
  </si>
  <si>
    <t>TOTAL PER ANUALITATS</t>
  </si>
  <si>
    <t>Preu/mes</t>
  </si>
  <si>
    <t>Nombre mesos</t>
  </si>
  <si>
    <t>Servei durant mesos del 2025</t>
  </si>
  <si>
    <t>Desenvolupament de la plataforma</t>
  </si>
  <si>
    <t>Oferta</t>
  </si>
  <si>
    <t>Pròrroga 1</t>
  </si>
  <si>
    <t>Pròrroga 2</t>
  </si>
  <si>
    <t>Pròrroga 3</t>
  </si>
  <si>
    <t>TOTAL AMB 3 PRÒRROGUES IVA INCLÒS</t>
  </si>
  <si>
    <t>Determinació import de la modificació (20%)</t>
  </si>
  <si>
    <t>Import de licitació</t>
  </si>
  <si>
    <t>B</t>
  </si>
  <si>
    <t>C</t>
  </si>
  <si>
    <t>E</t>
  </si>
  <si>
    <t>OFERTA EMPRESA "xxxx"</t>
  </si>
  <si>
    <t>Variables licitació</t>
  </si>
  <si>
    <t>Punts obtinguts de l'oferta</t>
  </si>
  <si>
    <t>Nombre renovacions 2025</t>
  </si>
  <si>
    <t>Determinació baixes anormals</t>
  </si>
  <si>
    <t>Mitjana ofertes</t>
  </si>
  <si>
    <t>Límit inferior</t>
  </si>
  <si>
    <t>% sota mitjana</t>
  </si>
  <si>
    <t>Matriu de baixes anormals de les diferents empreses</t>
  </si>
  <si>
    <t>Quotes Connexió mitjançant 5G tipus 2</t>
  </si>
  <si>
    <t xml:space="preserve">Determinació cost anual  suport i manteniment correctiu i evolutiu de la plataforma </t>
  </si>
  <si>
    <t>cost anual  suport i manteniment correctiu i evolutiu de la plataforma per al 2025</t>
  </si>
  <si>
    <t>Determinació cost anual d'allotjament CLOUD</t>
  </si>
  <si>
    <t>Allotjament CLOUD per al 2025</t>
  </si>
  <si>
    <t>Allotjament Cloud</t>
  </si>
  <si>
    <t>Nombre de kits per fases</t>
  </si>
  <si>
    <t>Suport manteniment correctiu i evolutiu</t>
  </si>
  <si>
    <t xml:space="preserve">BLOC 1 </t>
  </si>
  <si>
    <t>BLOC 2 - PREUS UNITARIS</t>
  </si>
  <si>
    <t>Valor de M</t>
  </si>
  <si>
    <t>Puntuació (Pv)</t>
  </si>
  <si>
    <t>Import licitació (IL)</t>
  </si>
  <si>
    <t>CONCEPTES DE L'OFERTA ECONÒMICA</t>
  </si>
  <si>
    <t>Assitent de veu + mini pc + altaveu + micro + solució compacte (PREU UNITARI 2)</t>
  </si>
  <si>
    <t>Sensor Temperatura i Humitat (PREU UNITARI 5)</t>
  </si>
  <si>
    <t>Antena tipus Zigbee (PREU UNITARI 6)</t>
  </si>
  <si>
    <t>Kit 2 de sensors (1xPU2+3xPU3+2xPU4+1xPU5+1xPU6)</t>
  </si>
  <si>
    <t>Kit 1 de sensors (1xPU2+1xPU3+1xPU4+1xPU5+1xPU6)</t>
  </si>
  <si>
    <t>Kit 3 de sensors (1xPU2+3xPU3+3xPU4+2xPU5+1xPU6)</t>
  </si>
  <si>
    <t>Cost formació a SAD (PREU UNITARI 7)</t>
  </si>
  <si>
    <t>Cost anual suport i manteniment correctiu i evolutiu de la plataforma (PREU UNITARI 8)</t>
  </si>
  <si>
    <t>Cost instal·lació tipus 1 (Connexió fibra o banda ampla a la llar) (PREU UNITARI 9)</t>
  </si>
  <si>
    <t>Cost instal·lació tipus 2 (Connexió per telefonia mòbil 5G) (PREU UNITARI 10)</t>
  </si>
  <si>
    <t>Cost instal·lació tipus 4 (Connexió mitjançant satèl·lit) (PREU UNITARI 12)</t>
  </si>
  <si>
    <t>Cost quota mensual connexió tipus 1 (Connexió fibra o banda ampla a la llar) (PREU UNITARI 13)</t>
  </si>
  <si>
    <t>Cost quota mensual connexió 2 (Connexió per telefonia mòbil 5G) (PREU UNITARI 14)</t>
  </si>
  <si>
    <t>Cost quota mensual connexió tipus 3 (Connexió connexió mitjançant sistema ràdio) (P.U. 15)</t>
  </si>
  <si>
    <t>Cost quota mensual connexió tipus 4 (Connexió mitjançant satèl·lit) (PREU UNITARI 16)</t>
  </si>
  <si>
    <t>Cost anual d'allotjament CLOUD (PREU UNITARI 17)</t>
  </si>
  <si>
    <t>Cost reposició antena tipus Zigbee</t>
  </si>
  <si>
    <t>Cost unitari per llar instal·lació inicial o retirada equipament (PREU UNITARI 1)</t>
  </si>
  <si>
    <t>Cost assistent, sensors individuals i repetidor (inclou també tot el material per instal·lació)</t>
  </si>
  <si>
    <t>Cost kits de sensors (inclou també tot el material per instal·lació)</t>
  </si>
  <si>
    <t>Total per fase</t>
  </si>
  <si>
    <t>TOTAL TOTES LES FASES</t>
  </si>
  <si>
    <t>Pròrrogues</t>
  </si>
  <si>
    <t>Determinació del pressupost d'una anualitat de pròrroga</t>
  </si>
  <si>
    <t>Resum de l'oferta presentada</t>
  </si>
  <si>
    <t>Cost instal·lació tipus 3 (Connexió mitjançant sistema ràdio) (P.U. 11)</t>
  </si>
  <si>
    <t>% de baixa</t>
  </si>
  <si>
    <t>PRESSUPOST OFERTA IVA EXCLÒS</t>
  </si>
  <si>
    <t>xxx</t>
  </si>
  <si>
    <t>Ofertes diferents empreses (serveix per fer simulacions)</t>
  </si>
  <si>
    <t>Cost reposició assistent de veu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</si>
</sst>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4" fontId="2" fillId="0" borderId="1" xfId="0" applyNumberFormat="1" applyFont="1" applyBorder="1"/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/>
    <xf numFmtId="9" fontId="0" fillId="0" borderId="1" xfId="0" applyNumberFormat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6" xfId="0" applyBorder="1"/>
    <xf numFmtId="44" fontId="0" fillId="0" borderId="0" xfId="0" applyNumberFormat="1" applyAlignment="1">
      <alignment vertical="center" wrapText="1"/>
    </xf>
    <xf numFmtId="0" fontId="2" fillId="0" borderId="0" xfId="0" applyFont="1"/>
    <xf numFmtId="44" fontId="2" fillId="0" borderId="0" xfId="1" applyFont="1" applyBorder="1"/>
    <xf numFmtId="44" fontId="2" fillId="0" borderId="0" xfId="0" applyNumberFormat="1" applyFont="1" applyAlignment="1">
      <alignment horizontal="center"/>
    </xf>
    <xf numFmtId="44" fontId="1" fillId="0" borderId="1" xfId="1" applyFont="1" applyBorder="1"/>
    <xf numFmtId="10" fontId="2" fillId="0" borderId="0" xfId="2" applyNumberFormat="1" applyFont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/>
    <xf numFmtId="0" fontId="0" fillId="0" borderId="14" xfId="0" applyBorder="1"/>
    <xf numFmtId="44" fontId="0" fillId="0" borderId="1" xfId="1" applyFont="1" applyFill="1" applyBorder="1"/>
    <xf numFmtId="44" fontId="0" fillId="0" borderId="7" xfId="0" applyNumberFormat="1" applyBorder="1"/>
    <xf numFmtId="0" fontId="2" fillId="0" borderId="6" xfId="0" applyFont="1" applyBorder="1"/>
    <xf numFmtId="44" fontId="2" fillId="0" borderId="7" xfId="0" applyNumberFormat="1" applyFont="1" applyBorder="1"/>
    <xf numFmtId="0" fontId="2" fillId="0" borderId="8" xfId="0" applyFont="1" applyBorder="1"/>
    <xf numFmtId="44" fontId="2" fillId="0" borderId="10" xfId="0" applyNumberFormat="1" applyFont="1" applyBorder="1"/>
    <xf numFmtId="44" fontId="0" fillId="0" borderId="15" xfId="0" applyNumberFormat="1" applyBorder="1"/>
    <xf numFmtId="0" fontId="0" fillId="0" borderId="12" xfId="0" applyBorder="1"/>
    <xf numFmtId="44" fontId="0" fillId="0" borderId="13" xfId="0" applyNumberFormat="1" applyBorder="1"/>
    <xf numFmtId="0" fontId="2" fillId="0" borderId="3" xfId="0" applyFont="1" applyBorder="1"/>
    <xf numFmtId="44" fontId="2" fillId="0" borderId="5" xfId="0" applyNumberFormat="1" applyFont="1" applyBorder="1"/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1" fillId="0" borderId="1" xfId="1" applyFont="1" applyFill="1" applyBorder="1"/>
    <xf numFmtId="0" fontId="0" fillId="0" borderId="19" xfId="0" applyBorder="1"/>
    <xf numFmtId="0" fontId="0" fillId="0" borderId="17" xfId="0" applyBorder="1"/>
    <xf numFmtId="0" fontId="2" fillId="3" borderId="1" xfId="0" applyFont="1" applyFill="1" applyBorder="1"/>
    <xf numFmtId="44" fontId="2" fillId="3" borderId="1" xfId="0" applyNumberFormat="1" applyFont="1" applyFill="1" applyBorder="1"/>
    <xf numFmtId="0" fontId="0" fillId="3" borderId="1" xfId="0" applyFill="1" applyBorder="1"/>
    <xf numFmtId="44" fontId="0" fillId="3" borderId="1" xfId="1" applyFont="1" applyFill="1" applyBorder="1"/>
    <xf numFmtId="44" fontId="1" fillId="3" borderId="1" xfId="1" applyFont="1" applyFill="1" applyBorder="1"/>
    <xf numFmtId="44" fontId="0" fillId="3" borderId="1" xfId="0" applyNumberFormat="1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" xfId="0" applyFill="1" applyBorder="1"/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4" fontId="1" fillId="2" borderId="1" xfId="1" applyFont="1" applyFill="1" applyBorder="1" applyAlignment="1" applyProtection="1">
      <alignment horizontal="center" vertical="center" wrapText="1"/>
      <protection locked="0"/>
    </xf>
    <xf numFmtId="44" fontId="0" fillId="2" borderId="1" xfId="1" applyFont="1" applyFill="1" applyBorder="1" applyProtection="1">
      <protection locked="0"/>
    </xf>
    <xf numFmtId="0" fontId="0" fillId="0" borderId="0" xfId="0" applyProtection="1"/>
    <xf numFmtId="0" fontId="2" fillId="0" borderId="3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0" borderId="6" xfId="0" applyBorder="1" applyProtection="1"/>
    <xf numFmtId="44" fontId="0" fillId="0" borderId="7" xfId="0" applyNumberFormat="1" applyBorder="1" applyProtection="1"/>
    <xf numFmtId="44" fontId="0" fillId="0" borderId="6" xfId="0" applyNumberFormat="1" applyBorder="1" applyProtection="1"/>
    <xf numFmtId="0" fontId="0" fillId="0" borderId="1" xfId="0" applyBorder="1" applyProtection="1"/>
    <xf numFmtId="0" fontId="0" fillId="0" borderId="7" xfId="0" applyBorder="1" applyProtection="1"/>
    <xf numFmtId="44" fontId="0" fillId="0" borderId="1" xfId="0" applyNumberFormat="1" applyBorder="1" applyProtection="1"/>
    <xf numFmtId="0" fontId="2" fillId="0" borderId="6" xfId="0" applyFont="1" applyBorder="1" applyProtection="1"/>
    <xf numFmtId="44" fontId="2" fillId="0" borderId="7" xfId="0" applyNumberFormat="1" applyFont="1" applyBorder="1" applyProtection="1"/>
    <xf numFmtId="44" fontId="2" fillId="0" borderId="1" xfId="0" applyNumberFormat="1" applyFont="1" applyBorder="1" applyProtection="1"/>
    <xf numFmtId="0" fontId="2" fillId="0" borderId="8" xfId="0" applyFont="1" applyBorder="1" applyProtection="1"/>
    <xf numFmtId="44" fontId="2" fillId="0" borderId="9" xfId="0" applyNumberFormat="1" applyFont="1" applyBorder="1" applyProtection="1"/>
    <xf numFmtId="44" fontId="0" fillId="0" borderId="8" xfId="0" applyNumberFormat="1" applyBorder="1" applyProtection="1"/>
    <xf numFmtId="44" fontId="0" fillId="0" borderId="9" xfId="0" applyNumberFormat="1" applyBorder="1" applyProtection="1"/>
    <xf numFmtId="44" fontId="0" fillId="0" borderId="10" xfId="0" applyNumberFormat="1" applyBorder="1" applyProtection="1"/>
    <xf numFmtId="0" fontId="2" fillId="0" borderId="18" xfId="0" applyFont="1" applyBorder="1" applyProtection="1"/>
    <xf numFmtId="44" fontId="2" fillId="0" borderId="33" xfId="0" applyNumberFormat="1" applyFont="1" applyBorder="1" applyAlignment="1" applyProtection="1">
      <alignment horizontal="center"/>
    </xf>
    <xf numFmtId="44" fontId="2" fillId="0" borderId="34" xfId="0" applyNumberFormat="1" applyFont="1" applyBorder="1" applyAlignment="1" applyProtection="1">
      <alignment horizontal="center"/>
    </xf>
    <xf numFmtId="44" fontId="2" fillId="0" borderId="35" xfId="0" applyNumberFormat="1" applyFont="1" applyBorder="1" applyAlignment="1" applyProtection="1">
      <alignment horizontal="center"/>
    </xf>
    <xf numFmtId="0" fontId="2" fillId="0" borderId="16" xfId="0" applyFont="1" applyBorder="1" applyProtection="1"/>
    <xf numFmtId="44" fontId="2" fillId="0" borderId="17" xfId="0" applyNumberFormat="1" applyFont="1" applyBorder="1" applyProtection="1"/>
    <xf numFmtId="44" fontId="0" fillId="0" borderId="0" xfId="0" applyNumberFormat="1" applyProtection="1"/>
    <xf numFmtId="10" fontId="0" fillId="0" borderId="1" xfId="2" applyNumberFormat="1" applyFont="1" applyBorder="1" applyAlignment="1" applyProtection="1">
      <alignment horizontal="center"/>
    </xf>
    <xf numFmtId="44" fontId="0" fillId="0" borderId="1" xfId="0" applyNumberForma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4" fontId="0" fillId="2" borderId="1" xfId="1" applyFont="1" applyFill="1" applyBorder="1" applyAlignment="1" applyProtection="1">
      <alignment horizontal="center"/>
      <protection locked="0"/>
    </xf>
    <xf numFmtId="164" fontId="0" fillId="0" borderId="0" xfId="0" applyNumberFormat="1" applyProtection="1"/>
    <xf numFmtId="0" fontId="2" fillId="0" borderId="2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4" xfId="0" applyBorder="1" applyProtection="1"/>
    <xf numFmtId="44" fontId="0" fillId="0" borderId="20" xfId="0" applyNumberFormat="1" applyBorder="1" applyProtection="1"/>
    <xf numFmtId="9" fontId="0" fillId="0" borderId="24" xfId="0" applyNumberFormat="1" applyBorder="1" applyAlignment="1" applyProtection="1">
      <alignment horizontal="center"/>
    </xf>
    <xf numFmtId="44" fontId="0" fillId="0" borderId="2" xfId="0" applyNumberFormat="1" applyBorder="1" applyProtection="1"/>
    <xf numFmtId="44" fontId="0" fillId="0" borderId="1" xfId="1" applyFont="1" applyBorder="1" applyAlignment="1" applyProtection="1">
      <alignment horizontal="center"/>
    </xf>
    <xf numFmtId="0" fontId="0" fillId="0" borderId="25" xfId="0" applyBorder="1" applyProtection="1"/>
    <xf numFmtId="9" fontId="0" fillId="0" borderId="25" xfId="0" applyNumberFormat="1" applyBorder="1" applyAlignment="1" applyProtection="1">
      <alignment horizontal="center"/>
    </xf>
    <xf numFmtId="2" fontId="0" fillId="0" borderId="0" xfId="0" applyNumberFormat="1" applyProtection="1"/>
    <xf numFmtId="0" fontId="0" fillId="0" borderId="26" xfId="0" applyBorder="1" applyProtection="1"/>
    <xf numFmtId="9" fontId="0" fillId="0" borderId="26" xfId="0" applyNumberFormat="1" applyBorder="1" applyAlignment="1" applyProtection="1">
      <alignment horizontal="center"/>
    </xf>
    <xf numFmtId="0" fontId="0" fillId="0" borderId="0" xfId="1" applyNumberFormat="1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0" fillId="0" borderId="6" xfId="1" applyNumberFormat="1" applyFont="1" applyBorder="1" applyAlignment="1" applyProtection="1">
      <alignment horizontal="center"/>
    </xf>
    <xf numFmtId="2" fontId="0" fillId="0" borderId="1" xfId="1" applyNumberFormat="1" applyFont="1" applyBorder="1" applyAlignment="1" applyProtection="1">
      <alignment horizontal="center"/>
    </xf>
    <xf numFmtId="44" fontId="0" fillId="0" borderId="7" xfId="1" applyFont="1" applyBorder="1" applyAlignment="1" applyProtection="1">
      <alignment horizontal="center"/>
    </xf>
    <xf numFmtId="2" fontId="0" fillId="0" borderId="0" xfId="1" applyNumberFormat="1" applyFont="1" applyBorder="1" applyAlignment="1" applyProtection="1">
      <alignment horizontal="center"/>
    </xf>
    <xf numFmtId="44" fontId="0" fillId="3" borderId="1" xfId="1" applyFont="1" applyFill="1" applyBorder="1" applyAlignment="1" applyProtection="1">
      <alignment horizontal="center"/>
    </xf>
    <xf numFmtId="2" fontId="0" fillId="0" borderId="6" xfId="1" applyNumberFormat="1" applyFont="1" applyBorder="1" applyAlignment="1" applyProtection="1">
      <alignment horizontal="center"/>
    </xf>
    <xf numFmtId="2" fontId="0" fillId="0" borderId="8" xfId="1" applyNumberFormat="1" applyFont="1" applyBorder="1" applyAlignment="1" applyProtection="1">
      <alignment horizontal="center"/>
    </xf>
    <xf numFmtId="2" fontId="0" fillId="0" borderId="9" xfId="1" applyNumberFormat="1" applyFont="1" applyBorder="1" applyAlignment="1" applyProtection="1">
      <alignment horizontal="center"/>
    </xf>
    <xf numFmtId="44" fontId="0" fillId="0" borderId="10" xfId="1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vertical="center"/>
    </xf>
    <xf numFmtId="0" fontId="0" fillId="0" borderId="8" xfId="1" applyNumberFormat="1" applyFont="1" applyBorder="1" applyAlignment="1" applyProtection="1">
      <alignment horizontal="center"/>
    </xf>
    <xf numFmtId="0" fontId="0" fillId="0" borderId="9" xfId="1" applyNumberFormat="1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/>
    <xf numFmtId="0" fontId="2" fillId="0" borderId="5" xfId="0" applyFont="1" applyBorder="1" applyAlignment="1" applyProtection="1"/>
    <xf numFmtId="0" fontId="0" fillId="0" borderId="0" xfId="0" applyAlignment="1" applyProtection="1">
      <alignment horizontal="center"/>
    </xf>
  </cellXfs>
  <cellStyles count="3">
    <cellStyle name="Moneda" xfId="1" builtinId="4"/>
    <cellStyle name="Normal" xfId="0" builtinId="0"/>
    <cellStyle name="Percentat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15834-B514-431D-85D7-6A9914CE07F5}">
  <dimension ref="B6:F36"/>
  <sheetViews>
    <sheetView workbookViewId="0">
      <selection activeCell="D7" sqref="D7:D24"/>
    </sheetView>
  </sheetViews>
  <sheetFormatPr defaultRowHeight="15" x14ac:dyDescent="0.25"/>
  <cols>
    <col min="1" max="1" width="9.140625" style="59"/>
    <col min="2" max="2" width="86.5703125" style="59" customWidth="1"/>
    <col min="3" max="3" width="16.5703125" style="59" customWidth="1"/>
    <col min="4" max="8" width="17" style="59" customWidth="1"/>
    <col min="9" max="16384" width="9.140625" style="59"/>
  </cols>
  <sheetData>
    <row r="6" spans="2:6" ht="30" x14ac:dyDescent="0.25">
      <c r="B6" s="56" t="s">
        <v>124</v>
      </c>
      <c r="C6" s="86" t="s">
        <v>120</v>
      </c>
      <c r="D6" s="86" t="s">
        <v>114</v>
      </c>
      <c r="F6" s="86" t="s">
        <v>173</v>
      </c>
    </row>
    <row r="7" spans="2:6" x14ac:dyDescent="0.25">
      <c r="B7" s="66" t="s">
        <v>113</v>
      </c>
      <c r="C7" s="85">
        <v>459272</v>
      </c>
      <c r="D7" s="57"/>
      <c r="F7" s="84">
        <f>1-D7/C7</f>
        <v>1</v>
      </c>
    </row>
    <row r="8" spans="2:6" x14ac:dyDescent="0.25">
      <c r="B8" s="66" t="s">
        <v>164</v>
      </c>
      <c r="C8" s="68">
        <v>742.5</v>
      </c>
      <c r="D8" s="58"/>
      <c r="F8" s="84">
        <f t="shared" ref="F8:F24" si="0">1-D8/C8</f>
        <v>1</v>
      </c>
    </row>
    <row r="9" spans="2:6" x14ac:dyDescent="0.25">
      <c r="B9" s="66" t="s">
        <v>147</v>
      </c>
      <c r="C9" s="68">
        <v>290</v>
      </c>
      <c r="D9" s="58"/>
      <c r="F9" s="84">
        <f t="shared" si="0"/>
        <v>1</v>
      </c>
    </row>
    <row r="10" spans="2:6" x14ac:dyDescent="0.25">
      <c r="B10" s="66" t="s">
        <v>102</v>
      </c>
      <c r="C10" s="68">
        <v>35</v>
      </c>
      <c r="D10" s="58"/>
      <c r="F10" s="84">
        <f t="shared" si="0"/>
        <v>1</v>
      </c>
    </row>
    <row r="11" spans="2:6" x14ac:dyDescent="0.25">
      <c r="B11" s="66" t="s">
        <v>103</v>
      </c>
      <c r="C11" s="68">
        <v>40</v>
      </c>
      <c r="D11" s="58"/>
      <c r="F11" s="84">
        <f t="shared" si="0"/>
        <v>1</v>
      </c>
    </row>
    <row r="12" spans="2:6" x14ac:dyDescent="0.25">
      <c r="B12" s="66" t="s">
        <v>148</v>
      </c>
      <c r="C12" s="68">
        <v>55</v>
      </c>
      <c r="D12" s="58"/>
      <c r="F12" s="84">
        <f t="shared" si="0"/>
        <v>1</v>
      </c>
    </row>
    <row r="13" spans="2:6" x14ac:dyDescent="0.25">
      <c r="B13" s="66" t="s">
        <v>149</v>
      </c>
      <c r="C13" s="68">
        <v>45</v>
      </c>
      <c r="D13" s="58"/>
      <c r="F13" s="84">
        <f t="shared" si="0"/>
        <v>1</v>
      </c>
    </row>
    <row r="14" spans="2:6" x14ac:dyDescent="0.25">
      <c r="B14" s="66" t="s">
        <v>153</v>
      </c>
      <c r="C14" s="68">
        <v>420</v>
      </c>
      <c r="D14" s="58"/>
      <c r="F14" s="84">
        <f t="shared" si="0"/>
        <v>1</v>
      </c>
    </row>
    <row r="15" spans="2:6" x14ac:dyDescent="0.25">
      <c r="B15" s="66" t="s">
        <v>154</v>
      </c>
      <c r="C15" s="68">
        <v>25500</v>
      </c>
      <c r="D15" s="58"/>
      <c r="F15" s="84">
        <f t="shared" si="0"/>
        <v>1</v>
      </c>
    </row>
    <row r="16" spans="2:6" x14ac:dyDescent="0.25">
      <c r="B16" s="66" t="s">
        <v>155</v>
      </c>
      <c r="C16" s="68">
        <v>40</v>
      </c>
      <c r="D16" s="58"/>
      <c r="F16" s="84">
        <f t="shared" si="0"/>
        <v>1</v>
      </c>
    </row>
    <row r="17" spans="2:6" x14ac:dyDescent="0.25">
      <c r="B17" s="66" t="s">
        <v>156</v>
      </c>
      <c r="C17" s="68">
        <v>50</v>
      </c>
      <c r="D17" s="58"/>
      <c r="F17" s="84">
        <f t="shared" si="0"/>
        <v>1</v>
      </c>
    </row>
    <row r="18" spans="2:6" x14ac:dyDescent="0.25">
      <c r="B18" s="66" t="s">
        <v>172</v>
      </c>
      <c r="C18" s="68">
        <v>200</v>
      </c>
      <c r="D18" s="58"/>
      <c r="F18" s="84">
        <f t="shared" si="0"/>
        <v>1</v>
      </c>
    </row>
    <row r="19" spans="2:6" x14ac:dyDescent="0.25">
      <c r="B19" s="66" t="s">
        <v>157</v>
      </c>
      <c r="C19" s="68">
        <v>500</v>
      </c>
      <c r="D19" s="58"/>
      <c r="F19" s="84">
        <f t="shared" si="0"/>
        <v>1</v>
      </c>
    </row>
    <row r="20" spans="2:6" x14ac:dyDescent="0.25">
      <c r="B20" s="66" t="s">
        <v>158</v>
      </c>
      <c r="C20" s="68">
        <v>35</v>
      </c>
      <c r="D20" s="58"/>
      <c r="F20" s="84">
        <f t="shared" si="0"/>
        <v>1</v>
      </c>
    </row>
    <row r="21" spans="2:6" x14ac:dyDescent="0.25">
      <c r="B21" s="66" t="s">
        <v>159</v>
      </c>
      <c r="C21" s="68">
        <v>15</v>
      </c>
      <c r="D21" s="58"/>
      <c r="F21" s="84">
        <f t="shared" si="0"/>
        <v>1</v>
      </c>
    </row>
    <row r="22" spans="2:6" x14ac:dyDescent="0.25">
      <c r="B22" s="66" t="s">
        <v>160</v>
      </c>
      <c r="C22" s="68">
        <v>30</v>
      </c>
      <c r="D22" s="58"/>
      <c r="F22" s="84">
        <f t="shared" si="0"/>
        <v>1</v>
      </c>
    </row>
    <row r="23" spans="2:6" x14ac:dyDescent="0.25">
      <c r="B23" s="66" t="s">
        <v>161</v>
      </c>
      <c r="C23" s="68">
        <v>50</v>
      </c>
      <c r="D23" s="58"/>
      <c r="F23" s="84">
        <f t="shared" si="0"/>
        <v>1</v>
      </c>
    </row>
    <row r="24" spans="2:6" x14ac:dyDescent="0.25">
      <c r="B24" s="66" t="s">
        <v>162</v>
      </c>
      <c r="C24" s="68">
        <v>4500</v>
      </c>
      <c r="D24" s="58"/>
      <c r="F24" s="84">
        <f t="shared" si="0"/>
        <v>1</v>
      </c>
    </row>
    <row r="26" spans="2:6" ht="15.75" thickBot="1" x14ac:dyDescent="0.3"/>
    <row r="27" spans="2:6" x14ac:dyDescent="0.25">
      <c r="B27" s="60" t="s">
        <v>171</v>
      </c>
      <c r="C27" s="61" t="s">
        <v>114</v>
      </c>
      <c r="D27" s="60" t="s">
        <v>115</v>
      </c>
      <c r="E27" s="62" t="s">
        <v>116</v>
      </c>
      <c r="F27" s="61" t="s">
        <v>117</v>
      </c>
    </row>
    <row r="28" spans="2:6" x14ac:dyDescent="0.25">
      <c r="B28" s="63" t="str">
        <f>B7</f>
        <v>Desenvolupament de la plataforma</v>
      </c>
      <c r="C28" s="64">
        <f>Oferta!D7</f>
        <v>0</v>
      </c>
      <c r="D28" s="65"/>
      <c r="E28" s="66"/>
      <c r="F28" s="67"/>
    </row>
    <row r="29" spans="2:6" x14ac:dyDescent="0.25">
      <c r="B29" s="63" t="s">
        <v>42</v>
      </c>
      <c r="C29" s="64">
        <f>'Implantació equipament'!E117</f>
        <v>0</v>
      </c>
      <c r="D29" s="65"/>
      <c r="E29" s="66"/>
      <c r="F29" s="67"/>
    </row>
    <row r="30" spans="2:6" x14ac:dyDescent="0.25">
      <c r="B30" s="63" t="s">
        <v>169</v>
      </c>
      <c r="C30" s="64"/>
      <c r="D30" s="65">
        <f>'Cost pròrroga i modificació'!C20</f>
        <v>0</v>
      </c>
      <c r="E30" s="68">
        <f>D30</f>
        <v>0</v>
      </c>
      <c r="F30" s="64">
        <f>E30</f>
        <v>0</v>
      </c>
    </row>
    <row r="31" spans="2:6" x14ac:dyDescent="0.25">
      <c r="B31" s="69" t="s">
        <v>174</v>
      </c>
      <c r="C31" s="70">
        <f>SUM(C28:C30)</f>
        <v>0</v>
      </c>
      <c r="D31" s="65">
        <f>D30</f>
        <v>0</v>
      </c>
      <c r="E31" s="68">
        <f>E30</f>
        <v>0</v>
      </c>
      <c r="F31" s="64">
        <f>F30</f>
        <v>0</v>
      </c>
    </row>
    <row r="32" spans="2:6" x14ac:dyDescent="0.25">
      <c r="B32" s="69" t="s">
        <v>19</v>
      </c>
      <c r="C32" s="71">
        <f>C31*0.21</f>
        <v>0</v>
      </c>
      <c r="D32" s="65">
        <f>D31*0.21</f>
        <v>0</v>
      </c>
      <c r="E32" s="68">
        <f>E31*0.21</f>
        <v>0</v>
      </c>
      <c r="F32" s="64">
        <f>F31*0.21</f>
        <v>0</v>
      </c>
    </row>
    <row r="33" spans="2:6" ht="15.75" thickBot="1" x14ac:dyDescent="0.3">
      <c r="B33" s="72" t="s">
        <v>20</v>
      </c>
      <c r="C33" s="73">
        <f>C32+C31</f>
        <v>0</v>
      </c>
      <c r="D33" s="74">
        <f>D32+D31</f>
        <v>0</v>
      </c>
      <c r="E33" s="75">
        <f>E32+E31</f>
        <v>0</v>
      </c>
      <c r="F33" s="76">
        <f>F32+F31</f>
        <v>0</v>
      </c>
    </row>
    <row r="34" spans="2:6" ht="15.75" thickBot="1" x14ac:dyDescent="0.3">
      <c r="B34" s="77" t="s">
        <v>118</v>
      </c>
      <c r="C34" s="78">
        <f>SUM(C33:F33)</f>
        <v>0</v>
      </c>
      <c r="D34" s="79"/>
      <c r="E34" s="79"/>
      <c r="F34" s="80"/>
    </row>
    <row r="35" spans="2:6" ht="15.75" thickBot="1" x14ac:dyDescent="0.3"/>
    <row r="36" spans="2:6" ht="15.75" thickBot="1" x14ac:dyDescent="0.3">
      <c r="B36" s="81" t="s">
        <v>119</v>
      </c>
      <c r="C36" s="82">
        <f>SUM(C31:F31)*0.2</f>
        <v>0</v>
      </c>
      <c r="F36" s="83"/>
    </row>
  </sheetData>
  <sheetProtection algorithmName="SHA-512" hashValue="X+gfHhLP0+EEbsqNpYklo3qbRfE8IpGaCPlvT2xjinUKXpo/zDVGuyJen4ro68I7lH8BINLzMHNx/uGyZsQKwA==" saltValue="0wWSQw2dSqKPo4qCh2zGaw==" spinCount="100000" sheet="1" objects="1" scenarios="1"/>
  <mergeCells count="1">
    <mergeCell ref="C34:F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DC336-4A7C-4F20-9ADE-02BBF81092BC}">
  <dimension ref="B1:K135"/>
  <sheetViews>
    <sheetView zoomScaleNormal="100" workbookViewId="0">
      <selection activeCell="B21" sqref="B21"/>
    </sheetView>
  </sheetViews>
  <sheetFormatPr defaultColWidth="8.7109375" defaultRowHeight="15" x14ac:dyDescent="0.25"/>
  <cols>
    <col min="2" max="2" width="86.140625" customWidth="1"/>
    <col min="3" max="11" width="15.7109375" customWidth="1"/>
    <col min="12" max="12" width="8.85546875" customWidth="1"/>
    <col min="13" max="13" width="11.28515625" customWidth="1"/>
    <col min="14" max="14" width="10.140625" customWidth="1"/>
  </cols>
  <sheetData>
    <row r="1" spans="2:10" s="14" customFormat="1" ht="45" x14ac:dyDescent="0.25">
      <c r="B1" s="11" t="s">
        <v>26</v>
      </c>
      <c r="C1" s="11" t="s">
        <v>24</v>
      </c>
      <c r="D1" s="11" t="s">
        <v>25</v>
      </c>
      <c r="E1" s="11" t="s">
        <v>127</v>
      </c>
    </row>
    <row r="2" spans="2:10" x14ac:dyDescent="0.25">
      <c r="B2" s="4" t="s">
        <v>4</v>
      </c>
      <c r="C2" s="15">
        <v>10</v>
      </c>
      <c r="D2" s="15">
        <f>C2</f>
        <v>10</v>
      </c>
      <c r="E2" s="15"/>
    </row>
    <row r="3" spans="2:10" x14ac:dyDescent="0.25">
      <c r="B3" s="4" t="s">
        <v>5</v>
      </c>
      <c r="C3" s="15">
        <v>20</v>
      </c>
      <c r="D3" s="15">
        <f>D2+C3</f>
        <v>30</v>
      </c>
      <c r="E3" s="15">
        <f>ROUND('Implantació equipament'!C$122*D2*0.5,0)</f>
        <v>1</v>
      </c>
    </row>
    <row r="4" spans="2:10" x14ac:dyDescent="0.25">
      <c r="B4" s="4" t="s">
        <v>7</v>
      </c>
      <c r="C4" s="15">
        <v>20</v>
      </c>
      <c r="D4" s="15">
        <f t="shared" ref="D4:D5" si="0">D3+C4</f>
        <v>50</v>
      </c>
      <c r="E4" s="15">
        <f>ROUND('Implantació equipament'!C$122*D3*0.5,0)</f>
        <v>3</v>
      </c>
    </row>
    <row r="5" spans="2:10" x14ac:dyDescent="0.25">
      <c r="B5" s="4" t="s">
        <v>23</v>
      </c>
      <c r="C5" s="15">
        <v>100</v>
      </c>
      <c r="D5" s="15">
        <f t="shared" si="0"/>
        <v>150</v>
      </c>
      <c r="E5" s="15">
        <f>ROUND('Implantació equipament'!C$122*D4*0.5,0)</f>
        <v>5</v>
      </c>
    </row>
    <row r="8" spans="2:10" s="9" customFormat="1" x14ac:dyDescent="0.25">
      <c r="B8" s="11" t="s">
        <v>36</v>
      </c>
      <c r="C8" s="11"/>
      <c r="D8" s="11"/>
      <c r="E8" s="11"/>
    </row>
    <row r="9" spans="2:10" x14ac:dyDescent="0.25">
      <c r="B9" s="43" t="s">
        <v>164</v>
      </c>
      <c r="C9" s="43"/>
      <c r="D9" s="43"/>
      <c r="E9" s="44">
        <f>Oferta!D8</f>
        <v>0</v>
      </c>
      <c r="H9" s="3"/>
      <c r="I9" s="22"/>
      <c r="J9" s="25"/>
    </row>
    <row r="10" spans="2:10" x14ac:dyDescent="0.25">
      <c r="E10" s="10"/>
      <c r="F10" s="1"/>
      <c r="G10" s="1"/>
      <c r="H10" s="3"/>
    </row>
    <row r="11" spans="2:10" x14ac:dyDescent="0.25">
      <c r="E11" s="10"/>
      <c r="F11" s="1"/>
      <c r="G11" s="1"/>
      <c r="H11" s="3"/>
    </row>
    <row r="12" spans="2:10" ht="30" x14ac:dyDescent="0.25">
      <c r="B12" s="11" t="s">
        <v>165</v>
      </c>
      <c r="C12" s="11" t="s">
        <v>104</v>
      </c>
      <c r="E12" s="10"/>
      <c r="F12" s="1"/>
      <c r="G12" s="38" t="s">
        <v>105</v>
      </c>
      <c r="H12" s="39"/>
    </row>
    <row r="13" spans="2:10" x14ac:dyDescent="0.25">
      <c r="B13" s="45" t="s">
        <v>147</v>
      </c>
      <c r="C13" s="46">
        <f>Oferta!D9</f>
        <v>0</v>
      </c>
      <c r="E13" s="10"/>
      <c r="F13" s="1"/>
      <c r="G13" s="18">
        <f>SUM(H29:H31)</f>
        <v>150</v>
      </c>
      <c r="H13" s="3"/>
      <c r="I13" s="22"/>
      <c r="J13" s="25"/>
    </row>
    <row r="14" spans="2:10" x14ac:dyDescent="0.25">
      <c r="B14" s="45" t="s">
        <v>102</v>
      </c>
      <c r="C14" s="46">
        <f>Oferta!D10</f>
        <v>0</v>
      </c>
      <c r="E14" s="10"/>
      <c r="F14" s="1"/>
      <c r="G14" s="18">
        <f>H29+H30*3+H31*3</f>
        <v>376</v>
      </c>
      <c r="H14" s="3"/>
      <c r="I14" s="22"/>
      <c r="J14" s="25"/>
    </row>
    <row r="15" spans="2:10" x14ac:dyDescent="0.25">
      <c r="B15" s="45" t="s">
        <v>103</v>
      </c>
      <c r="C15" s="46">
        <f>Oferta!D11</f>
        <v>0</v>
      </c>
      <c r="E15" s="10"/>
      <c r="F15" s="1"/>
      <c r="G15" s="18">
        <f>H29+H30*2+H31*3</f>
        <v>338</v>
      </c>
      <c r="H15" s="3"/>
      <c r="I15" s="22"/>
      <c r="J15" s="25"/>
    </row>
    <row r="16" spans="2:10" x14ac:dyDescent="0.25">
      <c r="B16" s="45" t="s">
        <v>148</v>
      </c>
      <c r="C16" s="46">
        <f>Oferta!D12</f>
        <v>0</v>
      </c>
      <c r="E16" s="10"/>
      <c r="F16" s="1"/>
      <c r="G16" s="18">
        <f>H29+H30+H31*2</f>
        <v>225</v>
      </c>
      <c r="H16" s="3"/>
      <c r="I16" s="22"/>
      <c r="J16" s="25"/>
    </row>
    <row r="17" spans="2:11" x14ac:dyDescent="0.25">
      <c r="B17" s="45" t="s">
        <v>149</v>
      </c>
      <c r="C17" s="46">
        <f>Oferta!D13</f>
        <v>0</v>
      </c>
      <c r="E17" s="10"/>
      <c r="F17" s="1"/>
      <c r="G17" s="18">
        <f>SUM(H29:H31)</f>
        <v>150</v>
      </c>
      <c r="H17" s="3"/>
      <c r="I17" s="22"/>
      <c r="J17" s="25"/>
    </row>
    <row r="18" spans="2:11" x14ac:dyDescent="0.25">
      <c r="E18" s="10"/>
      <c r="F18" s="1"/>
      <c r="G18" s="1"/>
      <c r="H18" s="3"/>
      <c r="I18" s="22"/>
    </row>
    <row r="19" spans="2:11" x14ac:dyDescent="0.25">
      <c r="E19" s="10"/>
      <c r="F19" s="1"/>
      <c r="G19" s="1"/>
      <c r="H19" s="3"/>
      <c r="I19" s="22"/>
    </row>
    <row r="20" spans="2:11" x14ac:dyDescent="0.25">
      <c r="B20" s="11" t="s">
        <v>166</v>
      </c>
      <c r="C20" s="11" t="s">
        <v>100</v>
      </c>
    </row>
    <row r="21" spans="2:11" x14ac:dyDescent="0.25">
      <c r="B21" s="4" t="s">
        <v>151</v>
      </c>
      <c r="C21" s="27">
        <f>SUM(C13:C17)</f>
        <v>0</v>
      </c>
      <c r="H21" s="3"/>
      <c r="I21" s="22"/>
      <c r="J21" s="25"/>
    </row>
    <row r="22" spans="2:11" x14ac:dyDescent="0.25">
      <c r="B22" s="4" t="s">
        <v>150</v>
      </c>
      <c r="C22" s="27">
        <f>C13+C14*3+C15*2+C16+C17</f>
        <v>0</v>
      </c>
      <c r="H22" s="3"/>
      <c r="I22" s="22"/>
      <c r="J22" s="25"/>
    </row>
    <row r="23" spans="2:11" x14ac:dyDescent="0.25">
      <c r="B23" s="4" t="s">
        <v>152</v>
      </c>
      <c r="C23" s="27">
        <f>C13+C14*3+C15*3+C16*2+C17</f>
        <v>0</v>
      </c>
      <c r="H23" s="3"/>
      <c r="I23" s="22"/>
      <c r="J23" s="25"/>
    </row>
    <row r="24" spans="2:11" x14ac:dyDescent="0.25">
      <c r="B24" s="18"/>
      <c r="C24" s="19"/>
      <c r="D24" s="18"/>
      <c r="E24" s="18"/>
      <c r="F24" s="18"/>
      <c r="G24" s="18"/>
      <c r="H24" s="18"/>
      <c r="I24" s="20"/>
      <c r="J24" s="20"/>
      <c r="K24" s="20"/>
    </row>
    <row r="25" spans="2:11" ht="30" x14ac:dyDescent="0.25">
      <c r="B25" s="11" t="s">
        <v>66</v>
      </c>
      <c r="C25" s="11" t="s">
        <v>67</v>
      </c>
      <c r="D25" s="11" t="s">
        <v>68</v>
      </c>
      <c r="E25" s="11" t="s">
        <v>69</v>
      </c>
      <c r="F25" s="11" t="s">
        <v>70</v>
      </c>
      <c r="G25" s="18"/>
      <c r="H25" s="1"/>
      <c r="I25" s="20"/>
      <c r="J25" s="20"/>
      <c r="K25" s="20"/>
    </row>
    <row r="26" spans="2:11" x14ac:dyDescent="0.25">
      <c r="B26" s="4" t="s">
        <v>34</v>
      </c>
      <c r="C26" s="4">
        <f>C2</f>
        <v>10</v>
      </c>
      <c r="D26" s="4">
        <f>C3+E3</f>
        <v>21</v>
      </c>
      <c r="E26" s="4">
        <f>C4+E4</f>
        <v>23</v>
      </c>
      <c r="F26" s="4">
        <f>C5+E5</f>
        <v>105</v>
      </c>
      <c r="G26" s="18"/>
      <c r="H26" s="18">
        <f>SUM(C26:F26)</f>
        <v>159</v>
      </c>
      <c r="I26" s="20"/>
      <c r="J26" s="20"/>
      <c r="K26" s="20"/>
    </row>
    <row r="27" spans="2:11" x14ac:dyDescent="0.25">
      <c r="B27" s="18"/>
      <c r="C27" s="19"/>
      <c r="D27" s="18"/>
      <c r="E27" s="18"/>
      <c r="F27" s="18"/>
      <c r="G27" s="18"/>
      <c r="H27" s="18"/>
      <c r="I27" s="20"/>
      <c r="J27" s="20"/>
      <c r="K27" s="20"/>
    </row>
    <row r="28" spans="2:11" ht="30" x14ac:dyDescent="0.25">
      <c r="B28" s="11" t="s">
        <v>139</v>
      </c>
      <c r="C28" s="11" t="s">
        <v>9</v>
      </c>
      <c r="D28" s="11" t="s">
        <v>10</v>
      </c>
      <c r="E28" s="11" t="s">
        <v>11</v>
      </c>
      <c r="F28" s="11" t="s">
        <v>12</v>
      </c>
      <c r="G28" s="18"/>
      <c r="H28" s="18"/>
      <c r="I28" s="20"/>
      <c r="J28" s="20"/>
      <c r="K28" s="20"/>
    </row>
    <row r="29" spans="2:11" x14ac:dyDescent="0.25">
      <c r="B29" s="4" t="s">
        <v>33</v>
      </c>
      <c r="C29" s="4">
        <f>ROUNDDOWN(C$2*'Implantació equipament'!C131,0)</f>
        <v>2</v>
      </c>
      <c r="D29" s="4">
        <f>ROUNDDOWN(C$3*'Implantació equipament'!C131,0)</f>
        <v>5</v>
      </c>
      <c r="E29" s="4">
        <f>ROUNDDOWN(C$4*'Implantació equipament'!C131,0)</f>
        <v>5</v>
      </c>
      <c r="F29" s="4">
        <f>ROUNDDOWN(C$5*'Implantació equipament'!C131,0)</f>
        <v>25</v>
      </c>
      <c r="G29" s="18"/>
      <c r="H29" s="18">
        <f t="shared" ref="H29:H31" si="1">SUM(C29:F29)</f>
        <v>37</v>
      </c>
      <c r="I29" s="20"/>
      <c r="J29" s="20"/>
      <c r="K29" s="20"/>
    </row>
    <row r="30" spans="2:11" x14ac:dyDescent="0.25">
      <c r="B30" s="4" t="s">
        <v>21</v>
      </c>
      <c r="C30" s="4">
        <f>C2-C29-C31</f>
        <v>3</v>
      </c>
      <c r="D30" s="4">
        <f>C3-D29-D31</f>
        <v>5</v>
      </c>
      <c r="E30" s="4">
        <f>C4-E29-E31</f>
        <v>5</v>
      </c>
      <c r="F30" s="4">
        <f>C5-F29-F31</f>
        <v>25</v>
      </c>
      <c r="G30" s="18"/>
      <c r="H30" s="18">
        <f t="shared" si="1"/>
        <v>38</v>
      </c>
      <c r="I30" s="20"/>
      <c r="J30" s="20"/>
      <c r="K30" s="20"/>
    </row>
    <row r="31" spans="2:11" x14ac:dyDescent="0.25">
      <c r="B31" s="4" t="s">
        <v>22</v>
      </c>
      <c r="C31" s="4">
        <f>ROUNDDOWN(C$2*'Implantació equipament'!C133,0)</f>
        <v>5</v>
      </c>
      <c r="D31" s="4">
        <f>ROUNDDOWN(C$3*'Implantació equipament'!C133,0)</f>
        <v>10</v>
      </c>
      <c r="E31" s="4">
        <f>ROUNDDOWN(C$4*'Implantació equipament'!C133,0)</f>
        <v>10</v>
      </c>
      <c r="F31" s="4">
        <f>ROUNDDOWN(C$5*'Implantació equipament'!C133,0)</f>
        <v>50</v>
      </c>
      <c r="G31" s="18"/>
      <c r="H31" s="18">
        <f t="shared" si="1"/>
        <v>75</v>
      </c>
      <c r="I31" s="20"/>
      <c r="J31" s="20"/>
      <c r="K31" s="20"/>
    </row>
    <row r="32" spans="2:11" x14ac:dyDescent="0.25">
      <c r="C32" s="19"/>
      <c r="D32" s="18"/>
      <c r="E32" s="18"/>
      <c r="F32" s="18"/>
      <c r="G32" s="18"/>
      <c r="H32" s="18"/>
      <c r="I32" s="20"/>
      <c r="J32" s="20"/>
      <c r="K32" s="20"/>
    </row>
    <row r="33" spans="2:11" x14ac:dyDescent="0.25">
      <c r="B33" s="6" t="s">
        <v>35</v>
      </c>
      <c r="C33" s="11" t="s">
        <v>1</v>
      </c>
      <c r="D33" s="11" t="s">
        <v>2</v>
      </c>
      <c r="E33" s="11" t="s">
        <v>3</v>
      </c>
      <c r="F33" s="11" t="s">
        <v>8</v>
      </c>
      <c r="H33" s="18"/>
      <c r="I33" s="20"/>
      <c r="J33" s="20"/>
      <c r="K33" s="20"/>
    </row>
    <row r="34" spans="2:11" x14ac:dyDescent="0.25">
      <c r="B34" s="4" t="s">
        <v>71</v>
      </c>
      <c r="C34" s="21">
        <f t="shared" ref="C34:F35" si="2">C29*$C21</f>
        <v>0</v>
      </c>
      <c r="D34" s="21">
        <f t="shared" si="2"/>
        <v>0</v>
      </c>
      <c r="E34" s="21">
        <f t="shared" si="2"/>
        <v>0</v>
      </c>
      <c r="F34" s="21">
        <f t="shared" si="2"/>
        <v>0</v>
      </c>
      <c r="H34" s="18"/>
      <c r="I34" s="20"/>
      <c r="J34" s="20"/>
      <c r="K34" s="20"/>
    </row>
    <row r="35" spans="2:11" x14ac:dyDescent="0.25">
      <c r="B35" s="4" t="s">
        <v>72</v>
      </c>
      <c r="C35" s="21">
        <f t="shared" si="2"/>
        <v>0</v>
      </c>
      <c r="D35" s="21">
        <f t="shared" si="2"/>
        <v>0</v>
      </c>
      <c r="E35" s="21">
        <f t="shared" si="2"/>
        <v>0</v>
      </c>
      <c r="F35" s="21">
        <f t="shared" si="2"/>
        <v>0</v>
      </c>
      <c r="H35" s="18"/>
      <c r="I35" s="20"/>
      <c r="J35" s="20"/>
      <c r="K35" s="20"/>
    </row>
    <row r="36" spans="2:11" x14ac:dyDescent="0.25">
      <c r="B36" s="4" t="s">
        <v>73</v>
      </c>
      <c r="C36" s="21">
        <f t="shared" ref="C36:F36" si="3">C31*$C23</f>
        <v>0</v>
      </c>
      <c r="D36" s="21">
        <f t="shared" si="3"/>
        <v>0</v>
      </c>
      <c r="E36" s="21">
        <f t="shared" si="3"/>
        <v>0</v>
      </c>
      <c r="F36" s="21">
        <f t="shared" si="3"/>
        <v>0</v>
      </c>
      <c r="H36" s="18"/>
      <c r="I36" s="20"/>
      <c r="J36" s="20"/>
      <c r="K36" s="20"/>
    </row>
    <row r="37" spans="2:11" x14ac:dyDescent="0.25">
      <c r="B37" s="4" t="s">
        <v>74</v>
      </c>
      <c r="C37" s="21">
        <f>C26*$E9</f>
        <v>0</v>
      </c>
      <c r="D37" s="21">
        <f>D26*$E9</f>
        <v>0</v>
      </c>
      <c r="E37" s="21">
        <f>E26*$E9</f>
        <v>0</v>
      </c>
      <c r="F37" s="21">
        <f>F26*$E9</f>
        <v>0</v>
      </c>
      <c r="H37" s="18"/>
      <c r="I37" s="20"/>
      <c r="J37" s="20"/>
      <c r="K37" s="20"/>
    </row>
    <row r="38" spans="2:11" x14ac:dyDescent="0.25">
      <c r="B38" s="7" t="s">
        <v>167</v>
      </c>
      <c r="C38" s="12">
        <f>SUM(C34:C37)</f>
        <v>0</v>
      </c>
      <c r="D38" s="12">
        <f>SUM(D34:D37)</f>
        <v>0</v>
      </c>
      <c r="E38" s="12">
        <f>SUM(E34:E37)</f>
        <v>0</v>
      </c>
      <c r="F38" s="12">
        <f>SUM(F34:F37)</f>
        <v>0</v>
      </c>
      <c r="G38" s="18"/>
      <c r="H38" s="18"/>
      <c r="I38" s="20"/>
      <c r="J38" s="20"/>
      <c r="K38" s="20"/>
    </row>
    <row r="39" spans="2:11" x14ac:dyDescent="0.25">
      <c r="B39" s="7" t="s">
        <v>168</v>
      </c>
      <c r="C39" s="53">
        <f>SUM(C38:F38)</f>
        <v>0</v>
      </c>
      <c r="D39" s="53"/>
      <c r="E39" s="53"/>
      <c r="F39" s="53"/>
      <c r="G39" s="18"/>
      <c r="H39" s="18"/>
      <c r="I39" s="20"/>
      <c r="J39" s="20"/>
      <c r="K39" s="20"/>
    </row>
    <row r="40" spans="2:11" x14ac:dyDescent="0.25">
      <c r="B40" s="18"/>
      <c r="C40" s="19"/>
      <c r="D40" s="18"/>
      <c r="E40" s="18"/>
      <c r="F40" s="18"/>
      <c r="G40" s="18"/>
      <c r="H40" s="18"/>
      <c r="I40" s="20"/>
      <c r="J40" s="20"/>
      <c r="K40" s="20"/>
    </row>
    <row r="41" spans="2:11" x14ac:dyDescent="0.25">
      <c r="B41" s="18"/>
      <c r="C41" s="19"/>
      <c r="D41" s="18"/>
      <c r="E41" s="18"/>
      <c r="F41" s="18"/>
      <c r="G41" s="18"/>
      <c r="H41" s="18"/>
      <c r="I41" s="20"/>
      <c r="J41" s="20"/>
      <c r="K41" s="20"/>
    </row>
    <row r="42" spans="2:11" x14ac:dyDescent="0.25">
      <c r="B42" s="6" t="s">
        <v>37</v>
      </c>
      <c r="C42" s="11"/>
      <c r="D42" s="11"/>
      <c r="E42" s="11" t="s">
        <v>13</v>
      </c>
      <c r="F42" s="18"/>
      <c r="G42" s="18"/>
      <c r="H42" s="18"/>
      <c r="I42" s="20"/>
      <c r="J42" s="20"/>
      <c r="K42" s="20"/>
    </row>
    <row r="43" spans="2:11" x14ac:dyDescent="0.25">
      <c r="B43" s="45" t="s">
        <v>153</v>
      </c>
      <c r="C43" s="46"/>
      <c r="D43" s="45"/>
      <c r="E43" s="44">
        <f>Oferta!D14</f>
        <v>0</v>
      </c>
      <c r="F43" s="18"/>
      <c r="G43" s="18"/>
      <c r="H43" s="18"/>
      <c r="I43" s="22"/>
      <c r="J43" s="25"/>
      <c r="K43" s="20"/>
    </row>
    <row r="44" spans="2:11" x14ac:dyDescent="0.25">
      <c r="B44" s="18"/>
      <c r="C44" s="19"/>
      <c r="D44" s="18"/>
      <c r="E44" s="18"/>
      <c r="F44" s="18"/>
      <c r="G44" s="18"/>
      <c r="H44" s="18"/>
      <c r="I44" s="20"/>
      <c r="J44" s="20"/>
      <c r="K44" s="20"/>
    </row>
    <row r="45" spans="2:11" x14ac:dyDescent="0.25">
      <c r="B45" s="6" t="s">
        <v>38</v>
      </c>
      <c r="C45" s="11" t="s">
        <v>1</v>
      </c>
      <c r="D45" s="11" t="s">
        <v>2</v>
      </c>
      <c r="E45" s="11" t="s">
        <v>3</v>
      </c>
      <c r="F45" s="11" t="s">
        <v>8</v>
      </c>
      <c r="G45" s="18"/>
      <c r="H45" s="18"/>
      <c r="I45" s="20"/>
      <c r="J45" s="20"/>
      <c r="K45" s="20"/>
    </row>
    <row r="46" spans="2:11" x14ac:dyDescent="0.25">
      <c r="B46" s="4" t="s">
        <v>39</v>
      </c>
      <c r="C46" s="21">
        <f>E43</f>
        <v>0</v>
      </c>
      <c r="D46" s="21">
        <f>C46</f>
        <v>0</v>
      </c>
      <c r="E46" s="21">
        <f t="shared" ref="E46:F46" si="4">D46</f>
        <v>0</v>
      </c>
      <c r="F46" s="21">
        <f t="shared" si="4"/>
        <v>0</v>
      </c>
      <c r="G46" s="18"/>
      <c r="H46" s="18"/>
      <c r="J46" s="20"/>
      <c r="K46" s="20"/>
    </row>
    <row r="47" spans="2:11" x14ac:dyDescent="0.25">
      <c r="C47" s="2"/>
      <c r="H47" s="3"/>
      <c r="I47" s="3"/>
      <c r="J47" s="3"/>
    </row>
    <row r="48" spans="2:11" x14ac:dyDescent="0.25">
      <c r="C48" s="2"/>
      <c r="H48" s="3"/>
      <c r="I48" s="3"/>
      <c r="J48" s="3"/>
    </row>
    <row r="49" spans="2:10" x14ac:dyDescent="0.25">
      <c r="B49" s="6" t="s">
        <v>134</v>
      </c>
      <c r="C49" s="11"/>
      <c r="D49" s="11"/>
      <c r="E49" s="11" t="s">
        <v>13</v>
      </c>
      <c r="F49" s="18"/>
      <c r="H49" s="3"/>
      <c r="I49" s="3"/>
      <c r="J49" s="3"/>
    </row>
    <row r="50" spans="2:10" x14ac:dyDescent="0.25">
      <c r="B50" s="45" t="s">
        <v>154</v>
      </c>
      <c r="C50" s="47"/>
      <c r="D50" s="45"/>
      <c r="E50" s="44">
        <f>Oferta!D15</f>
        <v>0</v>
      </c>
      <c r="F50" s="18"/>
      <c r="H50" s="3"/>
    </row>
    <row r="51" spans="2:10" x14ac:dyDescent="0.25">
      <c r="B51" s="18"/>
      <c r="C51" s="19"/>
      <c r="D51" s="18"/>
      <c r="E51" s="18"/>
      <c r="F51" s="18"/>
      <c r="H51" s="3"/>
      <c r="I51" s="3"/>
      <c r="J51" s="3"/>
    </row>
    <row r="52" spans="2:10" x14ac:dyDescent="0.25">
      <c r="B52" s="6" t="s">
        <v>135</v>
      </c>
      <c r="C52" s="11" t="s">
        <v>110</v>
      </c>
      <c r="D52" s="11" t="s">
        <v>111</v>
      </c>
      <c r="E52" s="11" t="s">
        <v>13</v>
      </c>
      <c r="F52" s="18"/>
      <c r="H52" s="3"/>
      <c r="I52" s="3"/>
      <c r="J52" s="3"/>
    </row>
    <row r="53" spans="2:10" x14ac:dyDescent="0.25">
      <c r="B53" s="4" t="s">
        <v>112</v>
      </c>
      <c r="C53" s="40">
        <f>E50/12</f>
        <v>0</v>
      </c>
      <c r="D53" s="4">
        <v>8</v>
      </c>
      <c r="E53" s="8">
        <f>D53*C53</f>
        <v>0</v>
      </c>
      <c r="F53" s="18"/>
      <c r="H53" s="3"/>
      <c r="I53" s="22"/>
      <c r="J53" s="25"/>
    </row>
    <row r="54" spans="2:10" x14ac:dyDescent="0.25">
      <c r="C54" s="2"/>
      <c r="H54" s="3"/>
      <c r="I54" s="3"/>
      <c r="J54" s="3"/>
    </row>
    <row r="55" spans="2:10" x14ac:dyDescent="0.25">
      <c r="B55" s="6" t="s">
        <v>80</v>
      </c>
      <c r="C55" s="11" t="s">
        <v>13</v>
      </c>
      <c r="D55" s="18"/>
      <c r="F55" s="3"/>
      <c r="G55" s="3"/>
      <c r="H55" s="3"/>
      <c r="I55" s="3"/>
    </row>
    <row r="56" spans="2:10" x14ac:dyDescent="0.25">
      <c r="B56" s="45" t="s">
        <v>155</v>
      </c>
      <c r="C56" s="48">
        <f>Oferta!D16</f>
        <v>0</v>
      </c>
      <c r="D56" s="18"/>
      <c r="F56" s="3"/>
      <c r="G56" s="3"/>
      <c r="H56" s="3"/>
      <c r="I56" s="22"/>
    </row>
    <row r="57" spans="2:10" x14ac:dyDescent="0.25">
      <c r="B57" s="45" t="s">
        <v>156</v>
      </c>
      <c r="C57" s="48">
        <f>Oferta!D17</f>
        <v>0</v>
      </c>
      <c r="D57" s="18"/>
      <c r="F57" s="3"/>
      <c r="G57" s="3"/>
      <c r="H57" s="3"/>
      <c r="I57" s="22"/>
    </row>
    <row r="58" spans="2:10" x14ac:dyDescent="0.25">
      <c r="B58" s="45" t="s">
        <v>172</v>
      </c>
      <c r="C58" s="48">
        <f>Oferta!D18</f>
        <v>0</v>
      </c>
      <c r="D58" s="18"/>
      <c r="F58" s="3"/>
      <c r="G58" s="3"/>
      <c r="H58" s="3"/>
      <c r="I58" s="22"/>
    </row>
    <row r="59" spans="2:10" x14ac:dyDescent="0.25">
      <c r="B59" s="45" t="s">
        <v>157</v>
      </c>
      <c r="C59" s="48">
        <f>Oferta!D19</f>
        <v>0</v>
      </c>
      <c r="D59" s="18"/>
      <c r="F59" s="3"/>
      <c r="G59" s="3"/>
      <c r="H59" s="3"/>
      <c r="I59" s="22"/>
    </row>
    <row r="60" spans="2:10" x14ac:dyDescent="0.25">
      <c r="C60" s="3"/>
      <c r="D60" s="18"/>
      <c r="F60" s="3"/>
      <c r="G60" s="3"/>
      <c r="H60" s="3"/>
      <c r="I60" s="3"/>
    </row>
    <row r="61" spans="2:10" x14ac:dyDescent="0.25">
      <c r="B61" s="6" t="s">
        <v>44</v>
      </c>
      <c r="C61" s="11" t="s">
        <v>45</v>
      </c>
      <c r="D61" s="11" t="s">
        <v>46</v>
      </c>
      <c r="E61" s="11" t="s">
        <v>47</v>
      </c>
      <c r="F61" s="11" t="s">
        <v>48</v>
      </c>
      <c r="G61" s="3"/>
      <c r="H61" s="3"/>
      <c r="I61" s="3"/>
    </row>
    <row r="62" spans="2:10" x14ac:dyDescent="0.25">
      <c r="B62" s="4" t="s">
        <v>49</v>
      </c>
      <c r="C62" s="4">
        <f>ROUND(C$2*'Implantació equipament'!C125,0)</f>
        <v>4</v>
      </c>
      <c r="D62" s="4">
        <f>ROUND(C$3*'Implantació equipament'!C125,0)</f>
        <v>7</v>
      </c>
      <c r="E62" s="4">
        <f>ROUND(C$4*'Implantació equipament'!C125,0)</f>
        <v>7</v>
      </c>
      <c r="F62" s="4">
        <f>ROUND(C$5*'Implantació equipament'!C125,0)</f>
        <v>35</v>
      </c>
      <c r="G62">
        <f>SUM(C62:F62)</f>
        <v>53</v>
      </c>
      <c r="H62" s="3"/>
      <c r="I62" s="3"/>
    </row>
    <row r="63" spans="2:10" x14ac:dyDescent="0.25">
      <c r="B63" s="4" t="s">
        <v>79</v>
      </c>
      <c r="C63" s="4">
        <f>ROUND(C$2*'Implantació equipament'!C126,0)</f>
        <v>5</v>
      </c>
      <c r="D63" s="4">
        <f>ROUND(C$3*'Implantació equipament'!C126,0)</f>
        <v>9</v>
      </c>
      <c r="E63" s="4">
        <f>ROUND(C$4*'Implantació equipament'!C126,0)</f>
        <v>9</v>
      </c>
      <c r="F63" s="4">
        <f>ROUND(C$5*'Implantació equipament'!C126,0)</f>
        <v>45</v>
      </c>
      <c r="G63">
        <f t="shared" ref="G63:G65" si="5">SUM(C63:F63)</f>
        <v>68</v>
      </c>
      <c r="H63" s="3"/>
      <c r="I63" s="3"/>
    </row>
    <row r="64" spans="2:10" x14ac:dyDescent="0.25">
      <c r="B64" s="4" t="s">
        <v>50</v>
      </c>
      <c r="C64" s="4">
        <f>C2-C62-C65-C63</f>
        <v>1</v>
      </c>
      <c r="D64" s="4">
        <f>C3-D62-D65-D63</f>
        <v>4</v>
      </c>
      <c r="E64" s="4">
        <f>C4-E62-E65-E63</f>
        <v>4</v>
      </c>
      <c r="F64" s="4">
        <f>C5-F62-F65-F63</f>
        <v>18</v>
      </c>
      <c r="G64">
        <f t="shared" si="5"/>
        <v>27</v>
      </c>
      <c r="H64" s="3"/>
      <c r="I64" s="3"/>
    </row>
    <row r="65" spans="2:10" x14ac:dyDescent="0.25">
      <c r="B65" s="4" t="s">
        <v>52</v>
      </c>
      <c r="C65" s="4">
        <f>ROUND(C$2*'Implantació equipament'!C128,0)</f>
        <v>0</v>
      </c>
      <c r="D65" s="4">
        <f>ROUND(C$3*'Implantació equipament'!C128,0)</f>
        <v>0</v>
      </c>
      <c r="E65" s="4">
        <f>ROUND(C$4*'Implantació equipament'!C128,0)</f>
        <v>0</v>
      </c>
      <c r="F65" s="4">
        <f>ROUND(C$5*'Implantació equipament'!C128,0)</f>
        <v>2</v>
      </c>
      <c r="G65">
        <f t="shared" si="5"/>
        <v>2</v>
      </c>
      <c r="H65" s="3"/>
      <c r="I65" s="3"/>
    </row>
    <row r="66" spans="2:10" x14ac:dyDescent="0.25">
      <c r="B66" s="7" t="s">
        <v>0</v>
      </c>
      <c r="C66" s="4">
        <f>SUM(C62:C65)</f>
        <v>10</v>
      </c>
      <c r="D66" s="4">
        <f t="shared" ref="D66:F66" si="6">SUM(D62:D65)</f>
        <v>20</v>
      </c>
      <c r="E66" s="4">
        <f t="shared" si="6"/>
        <v>20</v>
      </c>
      <c r="F66" s="4">
        <f t="shared" si="6"/>
        <v>100</v>
      </c>
      <c r="G66" s="3"/>
      <c r="H66" s="3"/>
      <c r="I66" s="3"/>
    </row>
    <row r="67" spans="2:10" x14ac:dyDescent="0.25">
      <c r="B67" s="18"/>
      <c r="C67" s="19"/>
      <c r="D67" s="18"/>
      <c r="E67" s="18"/>
      <c r="F67" s="18"/>
      <c r="H67" s="3"/>
      <c r="I67" s="3"/>
      <c r="J67" s="3"/>
    </row>
    <row r="68" spans="2:10" x14ac:dyDescent="0.25">
      <c r="B68" s="6" t="s">
        <v>43</v>
      </c>
      <c r="C68" s="11" t="s">
        <v>1</v>
      </c>
      <c r="D68" s="11" t="s">
        <v>2</v>
      </c>
      <c r="E68" s="11" t="s">
        <v>3</v>
      </c>
      <c r="F68" s="11" t="s">
        <v>8</v>
      </c>
      <c r="H68" s="3"/>
      <c r="I68" s="3"/>
      <c r="J68" s="3"/>
    </row>
    <row r="69" spans="2:10" x14ac:dyDescent="0.25">
      <c r="B69" s="4" t="s">
        <v>51</v>
      </c>
      <c r="C69" s="21">
        <f t="shared" ref="C69:D72" si="7">C62*$C56</f>
        <v>0</v>
      </c>
      <c r="D69" s="21">
        <f t="shared" si="7"/>
        <v>0</v>
      </c>
      <c r="E69" s="21">
        <f t="shared" ref="E69:F70" si="8">E62*$C56</f>
        <v>0</v>
      </c>
      <c r="F69" s="21">
        <f t="shared" si="8"/>
        <v>0</v>
      </c>
      <c r="H69" s="3"/>
      <c r="I69" s="3"/>
      <c r="J69" s="3"/>
    </row>
    <row r="70" spans="2:10" x14ac:dyDescent="0.25">
      <c r="B70" s="4" t="s">
        <v>81</v>
      </c>
      <c r="C70" s="21">
        <f t="shared" si="7"/>
        <v>0</v>
      </c>
      <c r="D70" s="21">
        <f t="shared" si="7"/>
        <v>0</v>
      </c>
      <c r="E70" s="21">
        <f t="shared" si="8"/>
        <v>0</v>
      </c>
      <c r="F70" s="21">
        <f t="shared" si="8"/>
        <v>0</v>
      </c>
      <c r="H70" s="3"/>
      <c r="I70" s="3"/>
      <c r="J70" s="3"/>
    </row>
    <row r="71" spans="2:10" x14ac:dyDescent="0.25">
      <c r="B71" s="4" t="s">
        <v>82</v>
      </c>
      <c r="C71" s="21">
        <f t="shared" si="7"/>
        <v>0</v>
      </c>
      <c r="D71" s="21">
        <f t="shared" si="7"/>
        <v>0</v>
      </c>
      <c r="E71" s="21">
        <f t="shared" ref="E71:F71" si="9">E64*$C58</f>
        <v>0</v>
      </c>
      <c r="F71" s="21">
        <f t="shared" si="9"/>
        <v>0</v>
      </c>
      <c r="H71" s="3"/>
      <c r="I71" s="3"/>
      <c r="J71" s="3"/>
    </row>
    <row r="72" spans="2:10" x14ac:dyDescent="0.25">
      <c r="B72" s="4" t="s">
        <v>83</v>
      </c>
      <c r="C72" s="21">
        <f t="shared" si="7"/>
        <v>0</v>
      </c>
      <c r="D72" s="21">
        <f t="shared" si="7"/>
        <v>0</v>
      </c>
      <c r="E72" s="21">
        <f t="shared" ref="E72:F72" si="10">E65*$C59</f>
        <v>0</v>
      </c>
      <c r="F72" s="21">
        <f t="shared" si="10"/>
        <v>0</v>
      </c>
      <c r="H72" s="3"/>
      <c r="I72" s="3"/>
      <c r="J72" s="3"/>
    </row>
    <row r="73" spans="2:10" x14ac:dyDescent="0.25">
      <c r="B73" s="7" t="s">
        <v>0</v>
      </c>
      <c r="C73" s="5">
        <f>SUM(C69:C72)</f>
        <v>0</v>
      </c>
      <c r="D73" s="5">
        <f t="shared" ref="D73:F73" si="11">SUM(D69:D72)</f>
        <v>0</v>
      </c>
      <c r="E73" s="5">
        <f t="shared" si="11"/>
        <v>0</v>
      </c>
      <c r="F73" s="5">
        <f t="shared" si="11"/>
        <v>0</v>
      </c>
      <c r="H73" s="3"/>
      <c r="I73" s="3"/>
      <c r="J73" s="3"/>
    </row>
    <row r="74" spans="2:10" x14ac:dyDescent="0.25">
      <c r="B74" s="18"/>
      <c r="C74" s="3"/>
      <c r="D74" s="3"/>
      <c r="E74" s="3"/>
      <c r="F74" s="3"/>
      <c r="H74" s="3"/>
      <c r="I74" s="3"/>
      <c r="J74" s="3"/>
    </row>
    <row r="75" spans="2:10" x14ac:dyDescent="0.25">
      <c r="B75" s="18"/>
      <c r="C75" s="3"/>
      <c r="D75" s="3"/>
      <c r="E75" s="3"/>
      <c r="F75" s="3"/>
      <c r="H75" s="3"/>
      <c r="I75" s="3"/>
      <c r="J75" s="3"/>
    </row>
    <row r="76" spans="2:10" x14ac:dyDescent="0.25">
      <c r="B76" s="6" t="s">
        <v>53</v>
      </c>
      <c r="C76" s="11" t="s">
        <v>13</v>
      </c>
      <c r="D76" s="18"/>
      <c r="F76" s="3"/>
      <c r="H76" s="3"/>
      <c r="I76" s="3"/>
      <c r="J76" s="3"/>
    </row>
    <row r="77" spans="2:10" x14ac:dyDescent="0.25">
      <c r="B77" s="45" t="s">
        <v>158</v>
      </c>
      <c r="C77" s="48">
        <f>Oferta!D20</f>
        <v>0</v>
      </c>
      <c r="D77" s="18"/>
      <c r="F77" s="3"/>
      <c r="H77" s="3"/>
      <c r="I77" s="22"/>
      <c r="J77" s="25"/>
    </row>
    <row r="78" spans="2:10" x14ac:dyDescent="0.25">
      <c r="B78" s="45" t="s">
        <v>159</v>
      </c>
      <c r="C78" s="48">
        <f>Oferta!D21</f>
        <v>0</v>
      </c>
      <c r="D78" s="18"/>
      <c r="F78" s="3"/>
      <c r="H78" s="3"/>
      <c r="I78" s="22"/>
      <c r="J78" s="25"/>
    </row>
    <row r="79" spans="2:10" x14ac:dyDescent="0.25">
      <c r="B79" s="45" t="s">
        <v>160</v>
      </c>
      <c r="C79" s="48">
        <f>Oferta!D22</f>
        <v>0</v>
      </c>
      <c r="D79" s="18"/>
      <c r="F79" s="3"/>
      <c r="H79" s="3"/>
      <c r="I79" s="22"/>
      <c r="J79" s="25"/>
    </row>
    <row r="80" spans="2:10" x14ac:dyDescent="0.25">
      <c r="B80" s="45" t="s">
        <v>161</v>
      </c>
      <c r="C80" s="48">
        <f>Oferta!D23</f>
        <v>0</v>
      </c>
      <c r="D80" s="18"/>
      <c r="F80" s="3"/>
      <c r="H80" s="3"/>
      <c r="I80" s="22"/>
      <c r="J80" s="25"/>
    </row>
    <row r="81" spans="2:11" x14ac:dyDescent="0.25">
      <c r="C81" s="3"/>
      <c r="D81" s="18"/>
      <c r="F81" s="3"/>
      <c r="H81" s="3"/>
      <c r="I81" s="3"/>
      <c r="J81" s="3"/>
    </row>
    <row r="82" spans="2:11" x14ac:dyDescent="0.25">
      <c r="B82" s="6" t="s">
        <v>54</v>
      </c>
      <c r="C82" s="11" t="s">
        <v>59</v>
      </c>
      <c r="D82" s="11" t="s">
        <v>60</v>
      </c>
      <c r="E82" s="11" t="s">
        <v>46</v>
      </c>
      <c r="F82" s="11" t="s">
        <v>47</v>
      </c>
      <c r="G82" s="11" t="s">
        <v>48</v>
      </c>
      <c r="I82" s="23"/>
      <c r="J82" s="3"/>
      <c r="K82" s="3"/>
    </row>
    <row r="83" spans="2:11" x14ac:dyDescent="0.25">
      <c r="B83" s="4" t="s">
        <v>92</v>
      </c>
      <c r="C83" s="4">
        <v>2</v>
      </c>
      <c r="D83" s="4">
        <v>12</v>
      </c>
      <c r="E83" s="4">
        <v>11</v>
      </c>
      <c r="F83" s="4">
        <v>8</v>
      </c>
      <c r="G83" s="4">
        <v>4</v>
      </c>
      <c r="I83" s="3"/>
      <c r="J83" s="3"/>
      <c r="K83" s="3"/>
    </row>
    <row r="84" spans="2:11" x14ac:dyDescent="0.25">
      <c r="B84" s="18"/>
      <c r="C84" s="19"/>
      <c r="D84" s="19"/>
      <c r="E84" s="18"/>
      <c r="F84" s="18"/>
      <c r="G84" s="18"/>
      <c r="I84" s="3"/>
      <c r="J84" s="3"/>
      <c r="K84" s="3"/>
    </row>
    <row r="85" spans="2:11" ht="30" x14ac:dyDescent="0.25">
      <c r="B85" s="6" t="s">
        <v>58</v>
      </c>
      <c r="C85" s="11" t="s">
        <v>85</v>
      </c>
      <c r="D85" s="11" t="s">
        <v>86</v>
      </c>
      <c r="E85" s="11" t="s">
        <v>2</v>
      </c>
      <c r="F85" s="11" t="s">
        <v>3</v>
      </c>
      <c r="G85" s="11" t="s">
        <v>8</v>
      </c>
      <c r="I85" s="3"/>
      <c r="J85" s="3"/>
      <c r="K85" s="3"/>
    </row>
    <row r="86" spans="2:11" x14ac:dyDescent="0.25">
      <c r="B86" s="4" t="s">
        <v>55</v>
      </c>
      <c r="C86" s="21">
        <f>C$83*$C77*C62</f>
        <v>0</v>
      </c>
      <c r="D86" s="21">
        <f t="shared" ref="D86:G89" si="12">D$83*$C77*C62</f>
        <v>0</v>
      </c>
      <c r="E86" s="21">
        <f t="shared" si="12"/>
        <v>0</v>
      </c>
      <c r="F86" s="21">
        <f t="shared" si="12"/>
        <v>0</v>
      </c>
      <c r="G86" s="21">
        <f t="shared" si="12"/>
        <v>0</v>
      </c>
      <c r="H86" s="3"/>
      <c r="I86" s="3"/>
      <c r="J86" s="3"/>
      <c r="K86" s="3"/>
    </row>
    <row r="87" spans="2:11" x14ac:dyDescent="0.25">
      <c r="B87" s="4" t="s">
        <v>56</v>
      </c>
      <c r="C87" s="21">
        <f>C$83*$C78*C63</f>
        <v>0</v>
      </c>
      <c r="D87" s="21">
        <f t="shared" si="12"/>
        <v>0</v>
      </c>
      <c r="E87" s="21">
        <f t="shared" si="12"/>
        <v>0</v>
      </c>
      <c r="F87" s="21">
        <f t="shared" si="12"/>
        <v>0</v>
      </c>
      <c r="G87" s="21">
        <f t="shared" si="12"/>
        <v>0</v>
      </c>
      <c r="H87" s="3"/>
      <c r="I87" s="3"/>
      <c r="J87" s="3"/>
      <c r="K87" s="3"/>
    </row>
    <row r="88" spans="2:11" x14ac:dyDescent="0.25">
      <c r="B88" s="4" t="s">
        <v>57</v>
      </c>
      <c r="C88" s="21">
        <f>C$83*$C79*C64</f>
        <v>0</v>
      </c>
      <c r="D88" s="21">
        <f t="shared" si="12"/>
        <v>0</v>
      </c>
      <c r="E88" s="21">
        <f t="shared" si="12"/>
        <v>0</v>
      </c>
      <c r="F88" s="21">
        <f t="shared" si="12"/>
        <v>0</v>
      </c>
      <c r="G88" s="21">
        <f t="shared" si="12"/>
        <v>0</v>
      </c>
      <c r="H88" s="3"/>
      <c r="I88" s="3"/>
      <c r="J88" s="3"/>
      <c r="K88" s="3"/>
    </row>
    <row r="89" spans="2:11" x14ac:dyDescent="0.25">
      <c r="B89" s="4" t="s">
        <v>84</v>
      </c>
      <c r="C89" s="21">
        <f>C$83*$C80*C65</f>
        <v>0</v>
      </c>
      <c r="D89" s="21">
        <f t="shared" si="12"/>
        <v>0</v>
      </c>
      <c r="E89" s="21">
        <f t="shared" si="12"/>
        <v>0</v>
      </c>
      <c r="F89" s="21">
        <f t="shared" si="12"/>
        <v>0</v>
      </c>
      <c r="G89" s="21">
        <f t="shared" si="12"/>
        <v>0</v>
      </c>
      <c r="H89" s="3"/>
      <c r="I89" s="3"/>
      <c r="J89" s="3"/>
      <c r="K89" s="3"/>
    </row>
    <row r="90" spans="2:11" x14ac:dyDescent="0.25">
      <c r="B90" s="7" t="s">
        <v>0</v>
      </c>
      <c r="C90" s="5">
        <f>SUM(C86:C89)</f>
        <v>0</v>
      </c>
      <c r="D90" s="5">
        <f t="shared" ref="D90" si="13">SUM(D86:D89)</f>
        <v>0</v>
      </c>
      <c r="E90" s="5">
        <f t="shared" ref="E90" si="14">SUM(E86:E89)</f>
        <v>0</v>
      </c>
      <c r="F90" s="5">
        <f t="shared" ref="F90" si="15">SUM(F86:F89)</f>
        <v>0</v>
      </c>
      <c r="G90" s="5">
        <f t="shared" ref="G90" si="16">SUM(G86:G89)</f>
        <v>0</v>
      </c>
      <c r="I90" s="3"/>
      <c r="J90" s="3"/>
      <c r="K90" s="3"/>
    </row>
    <row r="91" spans="2:11" x14ac:dyDescent="0.25">
      <c r="B91" s="18"/>
      <c r="C91" s="3"/>
      <c r="D91" s="3"/>
      <c r="E91" s="3"/>
      <c r="F91" s="3"/>
      <c r="H91" s="3"/>
      <c r="I91" s="3"/>
      <c r="J91" s="3"/>
    </row>
    <row r="92" spans="2:11" x14ac:dyDescent="0.25">
      <c r="B92" s="6" t="s">
        <v>136</v>
      </c>
      <c r="C92" s="11"/>
      <c r="D92" s="11"/>
      <c r="E92" s="11" t="s">
        <v>13</v>
      </c>
      <c r="F92" s="3"/>
      <c r="H92" s="3"/>
      <c r="I92" s="3"/>
      <c r="J92" s="3"/>
    </row>
    <row r="93" spans="2:11" x14ac:dyDescent="0.25">
      <c r="B93" s="49" t="s">
        <v>162</v>
      </c>
      <c r="C93" s="50"/>
      <c r="D93" s="51"/>
      <c r="E93" s="44">
        <f>Oferta!D24</f>
        <v>0</v>
      </c>
      <c r="F93" s="3"/>
      <c r="H93" s="3"/>
      <c r="I93" s="3"/>
      <c r="J93" s="3"/>
    </row>
    <row r="94" spans="2:11" x14ac:dyDescent="0.25">
      <c r="B94" s="18"/>
      <c r="C94" s="19"/>
      <c r="D94" s="18"/>
      <c r="E94" s="18"/>
      <c r="F94" s="3"/>
      <c r="H94" s="3"/>
      <c r="I94" s="3"/>
      <c r="J94" s="3"/>
    </row>
    <row r="95" spans="2:11" x14ac:dyDescent="0.25">
      <c r="B95" s="6" t="s">
        <v>137</v>
      </c>
      <c r="C95" s="11" t="s">
        <v>110</v>
      </c>
      <c r="D95" s="11" t="s">
        <v>111</v>
      </c>
      <c r="E95" s="11" t="s">
        <v>13</v>
      </c>
      <c r="F95" s="3"/>
      <c r="H95" s="3"/>
      <c r="I95" s="3"/>
      <c r="J95" s="3"/>
    </row>
    <row r="96" spans="2:11" x14ac:dyDescent="0.25">
      <c r="B96" s="4" t="s">
        <v>112</v>
      </c>
      <c r="C96" s="40">
        <f>E93/12</f>
        <v>0</v>
      </c>
      <c r="D96" s="4">
        <v>8</v>
      </c>
      <c r="E96" s="8">
        <f>D96*C96</f>
        <v>0</v>
      </c>
      <c r="F96" s="3"/>
      <c r="H96" s="3"/>
      <c r="I96" s="25"/>
      <c r="J96" s="25"/>
    </row>
    <row r="97" spans="2:10" x14ac:dyDescent="0.25">
      <c r="B97" s="18"/>
      <c r="C97" s="3"/>
      <c r="D97" s="3"/>
      <c r="E97" s="3"/>
      <c r="F97" s="3"/>
      <c r="H97" s="3"/>
      <c r="I97" s="3"/>
      <c r="J97" s="3"/>
    </row>
    <row r="98" spans="2:10" x14ac:dyDescent="0.25">
      <c r="B98" s="18"/>
      <c r="C98" s="3"/>
      <c r="D98" s="3"/>
      <c r="E98" s="3"/>
      <c r="F98" s="3"/>
      <c r="H98" s="3"/>
      <c r="I98" s="3"/>
      <c r="J98" s="3"/>
    </row>
    <row r="99" spans="2:10" x14ac:dyDescent="0.25">
      <c r="C99" s="2"/>
      <c r="E99" s="3"/>
      <c r="F99" s="3"/>
      <c r="G99" s="3"/>
      <c r="H99" s="3"/>
    </row>
    <row r="100" spans="2:10" s="14" customFormat="1" x14ac:dyDescent="0.25">
      <c r="B100" s="11" t="s">
        <v>62</v>
      </c>
      <c r="C100" s="11" t="s">
        <v>14</v>
      </c>
      <c r="D100" s="11" t="s">
        <v>15</v>
      </c>
      <c r="E100" s="11" t="s">
        <v>16</v>
      </c>
      <c r="F100" s="11" t="s">
        <v>17</v>
      </c>
      <c r="G100" s="11" t="s">
        <v>0</v>
      </c>
      <c r="H100" s="17"/>
    </row>
    <row r="101" spans="2:10" x14ac:dyDescent="0.25">
      <c r="B101" s="4" t="s">
        <v>61</v>
      </c>
      <c r="C101" s="5">
        <f>C38</f>
        <v>0</v>
      </c>
      <c r="D101" s="5">
        <f>D38</f>
        <v>0</v>
      </c>
      <c r="E101" s="5">
        <f>E38</f>
        <v>0</v>
      </c>
      <c r="F101" s="5">
        <f>F38</f>
        <v>0</v>
      </c>
      <c r="G101" s="5">
        <f>SUM(C101:F101)</f>
        <v>0</v>
      </c>
      <c r="H101" s="3"/>
    </row>
    <row r="102" spans="2:10" x14ac:dyDescent="0.25">
      <c r="B102" s="4" t="s">
        <v>18</v>
      </c>
      <c r="C102" s="5">
        <f>C46</f>
        <v>0</v>
      </c>
      <c r="D102" s="5">
        <f>D46</f>
        <v>0</v>
      </c>
      <c r="E102" s="5">
        <f>E46</f>
        <v>0</v>
      </c>
      <c r="F102" s="5">
        <f>F46</f>
        <v>0</v>
      </c>
      <c r="G102" s="5">
        <f t="shared" ref="G102:G106" si="17">SUM(C102:F102)</f>
        <v>0</v>
      </c>
      <c r="H102" s="3"/>
    </row>
    <row r="103" spans="2:10" x14ac:dyDescent="0.25">
      <c r="B103" s="4" t="s">
        <v>140</v>
      </c>
      <c r="C103" s="5"/>
      <c r="D103" s="5"/>
      <c r="E103" s="5">
        <f>E53/2</f>
        <v>0</v>
      </c>
      <c r="F103" s="5">
        <f>E103</f>
        <v>0</v>
      </c>
      <c r="G103" s="5">
        <f t="shared" si="17"/>
        <v>0</v>
      </c>
      <c r="H103" s="3"/>
    </row>
    <row r="104" spans="2:10" x14ac:dyDescent="0.25">
      <c r="B104" s="4" t="s">
        <v>63</v>
      </c>
      <c r="C104" s="5">
        <f>C73</f>
        <v>0</v>
      </c>
      <c r="D104" s="5">
        <f>D73</f>
        <v>0</v>
      </c>
      <c r="E104" s="5">
        <f>E73</f>
        <v>0</v>
      </c>
      <c r="F104" s="5">
        <f>F73</f>
        <v>0</v>
      </c>
      <c r="G104" s="5">
        <f t="shared" si="17"/>
        <v>0</v>
      </c>
      <c r="H104" s="3"/>
    </row>
    <row r="105" spans="2:10" x14ac:dyDescent="0.25">
      <c r="B105" s="4" t="s">
        <v>64</v>
      </c>
      <c r="C105" s="5">
        <f>C90+D90</f>
        <v>0</v>
      </c>
      <c r="D105" s="5">
        <f>E90</f>
        <v>0</v>
      </c>
      <c r="E105" s="5">
        <f>F90</f>
        <v>0</v>
      </c>
      <c r="F105" s="5">
        <f>G90</f>
        <v>0</v>
      </c>
      <c r="G105" s="5">
        <f t="shared" si="17"/>
        <v>0</v>
      </c>
      <c r="H105" s="3"/>
    </row>
    <row r="106" spans="2:10" x14ac:dyDescent="0.25">
      <c r="B106" s="4" t="s">
        <v>138</v>
      </c>
      <c r="C106" s="5"/>
      <c r="D106" s="5"/>
      <c r="E106" s="5">
        <f>E96/2</f>
        <v>0</v>
      </c>
      <c r="F106" s="5">
        <f>E106</f>
        <v>0</v>
      </c>
      <c r="G106" s="5">
        <f t="shared" si="17"/>
        <v>0</v>
      </c>
      <c r="H106" s="3"/>
    </row>
    <row r="107" spans="2:10" x14ac:dyDescent="0.25">
      <c r="B107" s="7" t="s">
        <v>6</v>
      </c>
      <c r="C107" s="8">
        <f>SUM(C101:C106)</f>
        <v>0</v>
      </c>
      <c r="D107" s="8">
        <f t="shared" ref="D107:G107" si="18">SUM(D101:D106)</f>
        <v>0</v>
      </c>
      <c r="E107" s="8">
        <f t="shared" si="18"/>
        <v>0</v>
      </c>
      <c r="F107" s="8">
        <f t="shared" si="18"/>
        <v>0</v>
      </c>
      <c r="G107" s="8">
        <f t="shared" si="18"/>
        <v>0</v>
      </c>
      <c r="H107" s="3"/>
    </row>
    <row r="110" spans="2:10" x14ac:dyDescent="0.25">
      <c r="B110" s="11" t="s">
        <v>65</v>
      </c>
      <c r="C110" s="11" t="s">
        <v>40</v>
      </c>
      <c r="D110" s="11" t="s">
        <v>41</v>
      </c>
      <c r="E110" s="11" t="s">
        <v>0</v>
      </c>
    </row>
    <row r="111" spans="2:10" x14ac:dyDescent="0.25">
      <c r="B111" s="4" t="s">
        <v>61</v>
      </c>
      <c r="C111" s="5">
        <f>C101</f>
        <v>0</v>
      </c>
      <c r="D111" s="5">
        <f>SUM(D101:F101)</f>
        <v>0</v>
      </c>
      <c r="E111" s="5">
        <f>SUM(C111:D111)</f>
        <v>0</v>
      </c>
    </row>
    <row r="112" spans="2:10" x14ac:dyDescent="0.25">
      <c r="B112" s="4" t="s">
        <v>18</v>
      </c>
      <c r="C112" s="5">
        <f>C102</f>
        <v>0</v>
      </c>
      <c r="D112" s="5">
        <f>SUM(D102:F102)</f>
        <v>0</v>
      </c>
      <c r="E112" s="5">
        <f t="shared" ref="E112:E116" si="19">SUM(C112:D112)</f>
        <v>0</v>
      </c>
    </row>
    <row r="113" spans="2:10" x14ac:dyDescent="0.25">
      <c r="B113" s="4" t="s">
        <v>140</v>
      </c>
      <c r="C113" s="5">
        <f>C103</f>
        <v>0</v>
      </c>
      <c r="D113" s="5">
        <f>SUM(D103:F103)</f>
        <v>0</v>
      </c>
      <c r="E113" s="5">
        <f t="shared" si="19"/>
        <v>0</v>
      </c>
    </row>
    <row r="114" spans="2:10" x14ac:dyDescent="0.25">
      <c r="B114" s="4" t="s">
        <v>63</v>
      </c>
      <c r="C114" s="5">
        <f>C104</f>
        <v>0</v>
      </c>
      <c r="D114" s="5">
        <f t="shared" ref="D114" si="20">SUM(D104:F104)</f>
        <v>0</v>
      </c>
      <c r="E114" s="5">
        <f t="shared" si="19"/>
        <v>0</v>
      </c>
    </row>
    <row r="115" spans="2:10" x14ac:dyDescent="0.25">
      <c r="B115" s="4" t="s">
        <v>64</v>
      </c>
      <c r="C115" s="5">
        <f>C90</f>
        <v>0</v>
      </c>
      <c r="D115" s="5">
        <f>D90+E90+F90+G90</f>
        <v>0</v>
      </c>
      <c r="E115" s="5">
        <f t="shared" si="19"/>
        <v>0</v>
      </c>
    </row>
    <row r="116" spans="2:10" x14ac:dyDescent="0.25">
      <c r="B116" s="4" t="s">
        <v>138</v>
      </c>
      <c r="C116" s="5"/>
      <c r="D116" s="5">
        <f>E96</f>
        <v>0</v>
      </c>
      <c r="E116" s="5">
        <f t="shared" si="19"/>
        <v>0</v>
      </c>
    </row>
    <row r="117" spans="2:10" x14ac:dyDescent="0.25">
      <c r="B117" s="7" t="s">
        <v>109</v>
      </c>
      <c r="C117" s="8">
        <f>SUM(C111:C116)</f>
        <v>0</v>
      </c>
      <c r="D117" s="8">
        <f>SUM(D111:D116)</f>
        <v>0</v>
      </c>
      <c r="E117" s="8">
        <f>SUM(E111:E116)</f>
        <v>0</v>
      </c>
      <c r="I117" s="24"/>
      <c r="J117" s="24"/>
    </row>
    <row r="122" spans="2:10" x14ac:dyDescent="0.25">
      <c r="B122" s="4" t="s">
        <v>30</v>
      </c>
      <c r="C122" s="13">
        <v>0.2</v>
      </c>
    </row>
    <row r="124" spans="2:10" x14ac:dyDescent="0.25">
      <c r="B124" s="52" t="s">
        <v>31</v>
      </c>
      <c r="C124" s="52"/>
    </row>
    <row r="125" spans="2:10" x14ac:dyDescent="0.25">
      <c r="B125" s="4" t="s">
        <v>75</v>
      </c>
      <c r="C125" s="13">
        <v>0.35</v>
      </c>
    </row>
    <row r="126" spans="2:10" x14ac:dyDescent="0.25">
      <c r="B126" s="4" t="s">
        <v>76</v>
      </c>
      <c r="C126" s="13">
        <v>0.45</v>
      </c>
    </row>
    <row r="127" spans="2:10" x14ac:dyDescent="0.25">
      <c r="B127" s="4" t="s">
        <v>77</v>
      </c>
      <c r="C127" s="13">
        <v>0.18</v>
      </c>
    </row>
    <row r="128" spans="2:10" x14ac:dyDescent="0.25">
      <c r="B128" s="4" t="s">
        <v>78</v>
      </c>
      <c r="C128" s="13">
        <v>0.02</v>
      </c>
    </row>
    <row r="130" spans="2:3" x14ac:dyDescent="0.25">
      <c r="B130" s="52" t="s">
        <v>32</v>
      </c>
      <c r="C130" s="52"/>
    </row>
    <row r="131" spans="2:3" x14ac:dyDescent="0.25">
      <c r="B131" s="4" t="s">
        <v>97</v>
      </c>
      <c r="C131" s="13">
        <v>0.25</v>
      </c>
    </row>
    <row r="132" spans="2:3" x14ac:dyDescent="0.25">
      <c r="B132" s="4" t="s">
        <v>98</v>
      </c>
      <c r="C132" s="13">
        <v>0.25</v>
      </c>
    </row>
    <row r="133" spans="2:3" x14ac:dyDescent="0.25">
      <c r="B133" s="4" t="s">
        <v>99</v>
      </c>
      <c r="C133" s="13">
        <v>0.5</v>
      </c>
    </row>
    <row r="135" spans="2:3" x14ac:dyDescent="0.25">
      <c r="B135" s="4" t="s">
        <v>87</v>
      </c>
      <c r="C135" s="13">
        <v>0.05</v>
      </c>
    </row>
  </sheetData>
  <sheetProtection algorithmName="SHA-512" hashValue="Qb42K9pn972KJOHeMKSE5MzW7ty+qjJnJXPxblpFjUFNae4cohskFQjeRnxg5+9kALZFYiL54HxitzwuIZbRdA==" saltValue="GjVUVRF2QPqvkzNu7J7n9g==" spinCount="100000" sheet="1" objects="1" scenarios="1"/>
  <mergeCells count="3">
    <mergeCell ref="B124:C124"/>
    <mergeCell ref="B130:C130"/>
    <mergeCell ref="C39:F39"/>
  </mergeCells>
  <pageMargins left="0.7" right="0.7" top="0.75" bottom="0.75" header="0.3" footer="0.3"/>
  <pageSetup paperSize="9" orientation="portrait" r:id="rId1"/>
  <ignoredErrors>
    <ignoredError sqref="D88:D89 D8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4B6F-0868-4B6E-B2DC-A19A0A20CBBB}">
  <dimension ref="B3:C25"/>
  <sheetViews>
    <sheetView zoomScale="120" zoomScaleNormal="120" workbookViewId="0">
      <selection activeCell="B14" sqref="B14"/>
    </sheetView>
  </sheetViews>
  <sheetFormatPr defaultRowHeight="15" x14ac:dyDescent="0.25"/>
  <cols>
    <col min="2" max="2" width="78.28515625" customWidth="1"/>
    <col min="3" max="3" width="14.5703125" customWidth="1"/>
  </cols>
  <sheetData>
    <row r="3" spans="2:3" ht="15.75" thickBot="1" x14ac:dyDescent="0.3"/>
    <row r="4" spans="2:3" ht="15.75" thickBot="1" x14ac:dyDescent="0.3">
      <c r="B4" s="41" t="s">
        <v>95</v>
      </c>
      <c r="C4" s="42">
        <f>ROUND('Implantació equipament'!C$122*'Implantació equipament'!D5,0)</f>
        <v>30</v>
      </c>
    </row>
    <row r="5" spans="2:3" ht="15.75" thickBot="1" x14ac:dyDescent="0.3"/>
    <row r="6" spans="2:3" ht="15.75" thickBot="1" x14ac:dyDescent="0.3">
      <c r="B6" s="54" t="s">
        <v>170</v>
      </c>
      <c r="C6" s="55"/>
    </row>
    <row r="7" spans="2:3" x14ac:dyDescent="0.25">
      <c r="B7" s="26" t="s">
        <v>88</v>
      </c>
      <c r="C7" s="33">
        <f>C4*'Implantació equipament'!E9</f>
        <v>0</v>
      </c>
    </row>
    <row r="8" spans="2:3" x14ac:dyDescent="0.25">
      <c r="B8" s="16" t="s">
        <v>177</v>
      </c>
      <c r="C8" s="28">
        <f>'Implantació equipament'!C13*'Implantació equipament'!G13*'Implantació equipament'!C$135</f>
        <v>0</v>
      </c>
    </row>
    <row r="9" spans="2:3" x14ac:dyDescent="0.25">
      <c r="B9" s="16" t="s">
        <v>106</v>
      </c>
      <c r="C9" s="28">
        <f>'Implantació equipament'!C14*'Implantació equipament'!G14*'Implantació equipament'!C$135</f>
        <v>0</v>
      </c>
    </row>
    <row r="10" spans="2:3" x14ac:dyDescent="0.25">
      <c r="B10" s="16" t="s">
        <v>107</v>
      </c>
      <c r="C10" s="28">
        <f>'Implantació equipament'!C15*'Implantació equipament'!G15*'Implantació equipament'!C$135</f>
        <v>0</v>
      </c>
    </row>
    <row r="11" spans="2:3" x14ac:dyDescent="0.25">
      <c r="B11" s="16" t="s">
        <v>108</v>
      </c>
      <c r="C11" s="28">
        <f>'Implantació equipament'!C16*'Implantació equipament'!G16*'Implantació equipament'!C$135</f>
        <v>0</v>
      </c>
    </row>
    <row r="12" spans="2:3" x14ac:dyDescent="0.25">
      <c r="B12" s="16" t="s">
        <v>163</v>
      </c>
      <c r="C12" s="28">
        <f>'Implantació equipament'!C17*'Implantació equipament'!G17*'Implantació equipament'!C$135</f>
        <v>0</v>
      </c>
    </row>
    <row r="13" spans="2:3" x14ac:dyDescent="0.25">
      <c r="B13" s="16" t="s">
        <v>89</v>
      </c>
      <c r="C13" s="28">
        <f>'Implantació equipament'!G62*'Implantació equipament'!C77*12</f>
        <v>0</v>
      </c>
    </row>
    <row r="14" spans="2:3" x14ac:dyDescent="0.25">
      <c r="B14" s="16" t="s">
        <v>133</v>
      </c>
      <c r="C14" s="28">
        <f>'Implantació equipament'!G63*'Implantació equipament'!C78*12</f>
        <v>0</v>
      </c>
    </row>
    <row r="15" spans="2:3" x14ac:dyDescent="0.25">
      <c r="B15" s="16" t="s">
        <v>91</v>
      </c>
      <c r="C15" s="28">
        <f>'Implantació equipament'!G64*'Implantació equipament'!C79*12</f>
        <v>0</v>
      </c>
    </row>
    <row r="16" spans="2:3" x14ac:dyDescent="0.25">
      <c r="B16" s="16" t="s">
        <v>90</v>
      </c>
      <c r="C16" s="28">
        <f>'Implantació equipament'!G65*'Implantació equipament'!C80*12</f>
        <v>0</v>
      </c>
    </row>
    <row r="17" spans="2:3" x14ac:dyDescent="0.25">
      <c r="B17" s="16" t="str">
        <f>'Implantació equipament'!B50</f>
        <v>Cost anual suport i manteniment correctiu i evolutiu de la plataforma (PREU UNITARI 8)</v>
      </c>
      <c r="C17" s="28">
        <f>'Implantació equipament'!E50</f>
        <v>0</v>
      </c>
    </row>
    <row r="18" spans="2:3" x14ac:dyDescent="0.25">
      <c r="B18" s="34" t="str">
        <f>'Implantació equipament'!B93</f>
        <v>Cost anual d'allotjament CLOUD (PREU UNITARI 17)</v>
      </c>
      <c r="C18" s="35">
        <f>'Implantació equipament'!E93</f>
        <v>0</v>
      </c>
    </row>
    <row r="19" spans="2:3" ht="15.75" thickBot="1" x14ac:dyDescent="0.3">
      <c r="B19" s="34" t="s">
        <v>93</v>
      </c>
      <c r="C19" s="35">
        <f>2*'Implantació equipament'!E43</f>
        <v>0</v>
      </c>
    </row>
    <row r="20" spans="2:3" x14ac:dyDescent="0.25">
      <c r="B20" s="36" t="s">
        <v>94</v>
      </c>
      <c r="C20" s="37">
        <f>SUM(C7:C19)</f>
        <v>0</v>
      </c>
    </row>
    <row r="21" spans="2:3" x14ac:dyDescent="0.25">
      <c r="B21" s="29" t="s">
        <v>101</v>
      </c>
      <c r="C21" s="30">
        <f>C20*0.21</f>
        <v>0</v>
      </c>
    </row>
    <row r="22" spans="2:3" ht="15.75" thickBot="1" x14ac:dyDescent="0.3">
      <c r="B22" s="31" t="s">
        <v>96</v>
      </c>
      <c r="C22" s="32">
        <f>C21+C20</f>
        <v>0</v>
      </c>
    </row>
    <row r="23" spans="2:3" x14ac:dyDescent="0.25">
      <c r="C23" s="3"/>
    </row>
    <row r="24" spans="2:3" x14ac:dyDescent="0.25">
      <c r="C24" s="3"/>
    </row>
    <row r="25" spans="2:3" x14ac:dyDescent="0.25">
      <c r="C25" s="3"/>
    </row>
  </sheetData>
  <sheetProtection algorithmName="SHA-512" hashValue="GsgaZqlomhjdTE367FJISGrArTsTYE3a2FLfvNUdjaKU688ThFyK6otIq3zbYZN4T4MiGU+RpXvZgA4EQ1ydOw==" saltValue="tOjhz6vY09WrqsWvXiiLVw==" spinCount="100000" sheet="1" objects="1" scenarios="1"/>
  <mergeCells count="1">
    <mergeCell ref="B6:C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4ED68-69E2-4331-B399-200AE8DC80FD}">
  <dimension ref="B2:U46"/>
  <sheetViews>
    <sheetView tabSelected="1" topLeftCell="B1" zoomScale="110" zoomScaleNormal="110" workbookViewId="0">
      <selection activeCell="E24" sqref="E24"/>
    </sheetView>
  </sheetViews>
  <sheetFormatPr defaultRowHeight="15" x14ac:dyDescent="0.25"/>
  <cols>
    <col min="1" max="1" width="9.140625" style="59"/>
    <col min="2" max="2" width="82.42578125" style="59" customWidth="1"/>
    <col min="3" max="3" width="3" style="59" customWidth="1"/>
    <col min="4" max="4" width="14.85546875" style="59" customWidth="1"/>
    <col min="5" max="5" width="14.140625" style="59" customWidth="1"/>
    <col min="6" max="6" width="18.28515625" style="59" customWidth="1"/>
    <col min="7" max="7" width="2.7109375" style="59" customWidth="1"/>
    <col min="8" max="13" width="13.140625" style="59" bestFit="1" customWidth="1"/>
    <col min="14" max="15" width="3" style="59" customWidth="1"/>
    <col min="16" max="21" width="10.7109375" style="59" customWidth="1"/>
    <col min="22" max="16384" width="9.140625" style="59"/>
  </cols>
  <sheetData>
    <row r="2" spans="2:21" ht="15.75" thickBot="1" x14ac:dyDescent="0.3"/>
    <row r="3" spans="2:21" x14ac:dyDescent="0.25">
      <c r="B3" s="136" t="s">
        <v>146</v>
      </c>
      <c r="D3" s="137"/>
      <c r="E3" s="60" t="s">
        <v>125</v>
      </c>
      <c r="F3" s="138"/>
      <c r="G3" s="139"/>
      <c r="H3" s="95" t="s">
        <v>176</v>
      </c>
      <c r="I3" s="95"/>
      <c r="J3" s="95"/>
      <c r="K3" s="95"/>
      <c r="L3" s="95"/>
      <c r="M3" s="95"/>
      <c r="P3" s="95" t="s">
        <v>126</v>
      </c>
      <c r="Q3" s="95"/>
      <c r="R3" s="95"/>
      <c r="S3" s="95"/>
      <c r="T3" s="95"/>
      <c r="U3" s="95"/>
    </row>
    <row r="4" spans="2:21" ht="15.75" thickBot="1" x14ac:dyDescent="0.3">
      <c r="B4" s="132"/>
      <c r="D4" s="133" t="s">
        <v>143</v>
      </c>
      <c r="E4" s="134" t="s">
        <v>144</v>
      </c>
      <c r="F4" s="135" t="s">
        <v>145</v>
      </c>
      <c r="G4" s="111"/>
      <c r="H4" s="87" t="s">
        <v>175</v>
      </c>
      <c r="I4" s="88" t="s">
        <v>121</v>
      </c>
      <c r="J4" s="88" t="s">
        <v>122</v>
      </c>
      <c r="K4" s="88" t="s">
        <v>27</v>
      </c>
      <c r="L4" s="88" t="s">
        <v>123</v>
      </c>
      <c r="M4" s="88" t="s">
        <v>28</v>
      </c>
      <c r="N4" s="111"/>
      <c r="O4" s="111"/>
      <c r="P4" s="98" t="s">
        <v>29</v>
      </c>
      <c r="Q4" s="98" t="s">
        <v>121</v>
      </c>
      <c r="R4" s="98" t="s">
        <v>122</v>
      </c>
      <c r="S4" s="98" t="s">
        <v>27</v>
      </c>
      <c r="T4" s="98" t="s">
        <v>123</v>
      </c>
      <c r="U4" s="98" t="s">
        <v>28</v>
      </c>
    </row>
    <row r="5" spans="2:21" x14ac:dyDescent="0.25">
      <c r="B5" s="128" t="s">
        <v>141</v>
      </c>
      <c r="D5" s="129"/>
      <c r="E5" s="130" t="s">
        <v>141</v>
      </c>
      <c r="F5" s="131"/>
      <c r="G5" s="111"/>
      <c r="H5" s="98"/>
      <c r="I5" s="98"/>
      <c r="J5" s="98"/>
      <c r="K5" s="98"/>
      <c r="L5" s="98"/>
      <c r="M5" s="98"/>
      <c r="N5" s="111"/>
      <c r="O5" s="111"/>
      <c r="P5" s="98"/>
      <c r="Q5" s="98"/>
      <c r="R5" s="98"/>
      <c r="S5" s="98"/>
      <c r="T5" s="98"/>
      <c r="U5" s="98"/>
    </row>
    <row r="6" spans="2:21" ht="15.75" thickBot="1" x14ac:dyDescent="0.3">
      <c r="B6" s="107" t="str">
        <f>Oferta!B7</f>
        <v>Desenvolupament de la plataforma</v>
      </c>
      <c r="D6" s="126">
        <v>3</v>
      </c>
      <c r="E6" s="127">
        <v>20</v>
      </c>
      <c r="F6" s="121">
        <v>459272</v>
      </c>
      <c r="G6" s="109"/>
      <c r="H6" s="117">
        <f>Oferta!D7</f>
        <v>0</v>
      </c>
      <c r="I6" s="89">
        <v>459272</v>
      </c>
      <c r="J6" s="89">
        <v>459272</v>
      </c>
      <c r="K6" s="89">
        <v>459272</v>
      </c>
      <c r="L6" s="89">
        <v>459272</v>
      </c>
      <c r="M6" s="89">
        <v>459272</v>
      </c>
      <c r="N6" s="109"/>
      <c r="O6" s="109"/>
      <c r="P6" s="110">
        <f>$E6*(1-((H6-MIN($H6:$M6))/$F6)*(1/$D6))</f>
        <v>20</v>
      </c>
      <c r="Q6" s="110">
        <f t="shared" ref="Q6:U6" si="0">$E6*(1-((I6-MIN($H6:$M6))/$F6)*(1/$D6))</f>
        <v>13.333333333333336</v>
      </c>
      <c r="R6" s="110">
        <f t="shared" si="0"/>
        <v>13.333333333333336</v>
      </c>
      <c r="S6" s="110">
        <f t="shared" si="0"/>
        <v>13.333333333333336</v>
      </c>
      <c r="T6" s="110">
        <f t="shared" si="0"/>
        <v>13.333333333333336</v>
      </c>
      <c r="U6" s="110">
        <f t="shared" si="0"/>
        <v>13.333333333333336</v>
      </c>
    </row>
    <row r="7" spans="2:21" x14ac:dyDescent="0.25">
      <c r="B7" s="122" t="s">
        <v>142</v>
      </c>
      <c r="D7" s="123"/>
      <c r="E7" s="124" t="s">
        <v>142</v>
      </c>
      <c r="F7" s="125"/>
      <c r="G7" s="109"/>
      <c r="H7" s="103"/>
      <c r="I7" s="103"/>
      <c r="J7" s="103"/>
      <c r="K7" s="103"/>
      <c r="L7" s="103"/>
      <c r="M7" s="103"/>
      <c r="N7" s="109"/>
      <c r="O7" s="109"/>
      <c r="P7" s="110"/>
      <c r="Q7" s="110"/>
      <c r="R7" s="110"/>
      <c r="S7" s="110"/>
      <c r="T7" s="110"/>
      <c r="U7" s="110"/>
    </row>
    <row r="8" spans="2:21" x14ac:dyDescent="0.25">
      <c r="B8" s="104" t="str">
        <f>Oferta!B8</f>
        <v>Cost unitari per llar instal·lació inicial o retirada equipament (PREU UNITARI 1)</v>
      </c>
      <c r="D8" s="113">
        <v>1</v>
      </c>
      <c r="E8" s="114">
        <v>12.78</v>
      </c>
      <c r="F8" s="115">
        <f>Oferta!C8</f>
        <v>742.5</v>
      </c>
      <c r="G8" s="116"/>
      <c r="H8" s="117">
        <f>Oferta!D8</f>
        <v>0</v>
      </c>
      <c r="I8" s="89">
        <v>742.5</v>
      </c>
      <c r="J8" s="89">
        <v>742.5</v>
      </c>
      <c r="K8" s="89">
        <v>742.5</v>
      </c>
      <c r="L8" s="89">
        <v>742.5</v>
      </c>
      <c r="M8" s="89">
        <v>742.5</v>
      </c>
      <c r="N8" s="109"/>
      <c r="O8" s="109"/>
      <c r="P8" s="110">
        <f t="shared" ref="P8:P23" si="1">$E8*(1-((H8-MIN($H8:$M8))/$F8)*(1/$D8))</f>
        <v>12.78</v>
      </c>
      <c r="Q8" s="110">
        <f t="shared" ref="Q8:Q23" si="2">$E8*(1-((I8-MIN($H8:$M8))/$F8)*(1/$D8))</f>
        <v>0</v>
      </c>
      <c r="R8" s="110">
        <f t="shared" ref="R8:R23" si="3">$E8*(1-((J8-MIN($H8:$M8))/$F8)*(1/$D8))</f>
        <v>0</v>
      </c>
      <c r="S8" s="110">
        <f t="shared" ref="S8:S23" si="4">$E8*(1-((K8-MIN($H8:$M8))/$F8)*(1/$D8))</f>
        <v>0</v>
      </c>
      <c r="T8" s="110">
        <f t="shared" ref="T8:T23" si="5">$E8*(1-((L8-MIN($H8:$M8))/$F8)*(1/$D8))</f>
        <v>0</v>
      </c>
      <c r="U8" s="110">
        <f t="shared" ref="U8:U23" si="6">$E8*(1-((M8-MIN($H8:$M8))/$F8)*(1/$D8))</f>
        <v>0</v>
      </c>
    </row>
    <row r="9" spans="2:21" x14ac:dyDescent="0.25">
      <c r="B9" s="104" t="str">
        <f>Oferta!B9</f>
        <v>Assitent de veu + mini pc + altaveu + micro + solució compacte (PREU UNITARI 2)</v>
      </c>
      <c r="D9" s="113">
        <v>2</v>
      </c>
      <c r="E9" s="114">
        <v>2.56</v>
      </c>
      <c r="F9" s="115">
        <f>Oferta!C9</f>
        <v>290</v>
      </c>
      <c r="G9" s="116"/>
      <c r="H9" s="117">
        <f>Oferta!D9</f>
        <v>0</v>
      </c>
      <c r="I9" s="89">
        <v>290</v>
      </c>
      <c r="J9" s="89">
        <v>290</v>
      </c>
      <c r="K9" s="89">
        <v>290</v>
      </c>
      <c r="L9" s="89">
        <v>290</v>
      </c>
      <c r="M9" s="89">
        <v>290</v>
      </c>
      <c r="N9" s="111"/>
      <c r="O9" s="111"/>
      <c r="P9" s="110">
        <f t="shared" si="1"/>
        <v>2.56</v>
      </c>
      <c r="Q9" s="110">
        <f t="shared" si="2"/>
        <v>1.28</v>
      </c>
      <c r="R9" s="110">
        <f t="shared" si="3"/>
        <v>1.28</v>
      </c>
      <c r="S9" s="110">
        <f t="shared" si="4"/>
        <v>1.28</v>
      </c>
      <c r="T9" s="110">
        <f t="shared" si="5"/>
        <v>1.28</v>
      </c>
      <c r="U9" s="110">
        <f t="shared" si="6"/>
        <v>1.28</v>
      </c>
    </row>
    <row r="10" spans="2:21" x14ac:dyDescent="0.25">
      <c r="B10" s="104" t="str">
        <f>Oferta!B10</f>
        <v>Sensor PIR (PREU UNITARI 3)</v>
      </c>
      <c r="D10" s="113">
        <v>1.45</v>
      </c>
      <c r="E10" s="114">
        <v>0.69</v>
      </c>
      <c r="F10" s="115">
        <f>Oferta!C10</f>
        <v>35</v>
      </c>
      <c r="G10" s="116"/>
      <c r="H10" s="117">
        <f>Oferta!D10</f>
        <v>0</v>
      </c>
      <c r="I10" s="89">
        <v>35</v>
      </c>
      <c r="J10" s="89">
        <v>35</v>
      </c>
      <c r="K10" s="89">
        <v>35</v>
      </c>
      <c r="L10" s="89">
        <v>35</v>
      </c>
      <c r="M10" s="89">
        <v>35</v>
      </c>
      <c r="N10" s="111"/>
      <c r="O10" s="111"/>
      <c r="P10" s="110">
        <f t="shared" si="1"/>
        <v>0.69</v>
      </c>
      <c r="Q10" s="110">
        <f t="shared" si="2"/>
        <v>0.2141379310344827</v>
      </c>
      <c r="R10" s="110">
        <f t="shared" si="3"/>
        <v>0.2141379310344827</v>
      </c>
      <c r="S10" s="110">
        <f t="shared" si="4"/>
        <v>0.2141379310344827</v>
      </c>
      <c r="T10" s="110">
        <f t="shared" si="5"/>
        <v>0.2141379310344827</v>
      </c>
      <c r="U10" s="110">
        <f t="shared" si="6"/>
        <v>0.2141379310344827</v>
      </c>
    </row>
    <row r="11" spans="2:21" x14ac:dyDescent="0.25">
      <c r="B11" s="104" t="str">
        <f>Oferta!B11</f>
        <v>Sensor porta (PREU UNITARI 4)</v>
      </c>
      <c r="D11" s="113">
        <v>1.45</v>
      </c>
      <c r="E11" s="114">
        <v>0.72</v>
      </c>
      <c r="F11" s="115">
        <f>Oferta!C11</f>
        <v>40</v>
      </c>
      <c r="G11" s="116"/>
      <c r="H11" s="117">
        <f>Oferta!D11</f>
        <v>0</v>
      </c>
      <c r="I11" s="89">
        <v>40</v>
      </c>
      <c r="J11" s="89">
        <v>40</v>
      </c>
      <c r="K11" s="89">
        <v>40</v>
      </c>
      <c r="L11" s="89">
        <v>40</v>
      </c>
      <c r="M11" s="89">
        <v>40</v>
      </c>
      <c r="N11" s="111"/>
      <c r="O11" s="111"/>
      <c r="P11" s="110">
        <f t="shared" si="1"/>
        <v>0.72</v>
      </c>
      <c r="Q11" s="110">
        <f t="shared" si="2"/>
        <v>0.22344827586206892</v>
      </c>
      <c r="R11" s="110">
        <f t="shared" si="3"/>
        <v>0.22344827586206892</v>
      </c>
      <c r="S11" s="110">
        <f t="shared" si="4"/>
        <v>0.22344827586206892</v>
      </c>
      <c r="T11" s="110">
        <f t="shared" si="5"/>
        <v>0.22344827586206892</v>
      </c>
      <c r="U11" s="110">
        <f t="shared" si="6"/>
        <v>0.22344827586206892</v>
      </c>
    </row>
    <row r="12" spans="2:21" x14ac:dyDescent="0.25">
      <c r="B12" s="104" t="str">
        <f>Oferta!B12</f>
        <v>Sensor Temperatura i Humitat (PREU UNITARI 5)</v>
      </c>
      <c r="D12" s="113">
        <v>1.45</v>
      </c>
      <c r="E12" s="114">
        <v>0.69</v>
      </c>
      <c r="F12" s="115">
        <f>Oferta!C12</f>
        <v>55</v>
      </c>
      <c r="G12" s="116"/>
      <c r="H12" s="117">
        <f>Oferta!D12</f>
        <v>0</v>
      </c>
      <c r="I12" s="89">
        <v>55</v>
      </c>
      <c r="J12" s="89">
        <v>55</v>
      </c>
      <c r="K12" s="89">
        <v>55</v>
      </c>
      <c r="L12" s="89">
        <v>55</v>
      </c>
      <c r="M12" s="89">
        <v>55</v>
      </c>
      <c r="N12" s="111"/>
      <c r="O12" s="111"/>
      <c r="P12" s="110">
        <f t="shared" si="1"/>
        <v>0.69</v>
      </c>
      <c r="Q12" s="110">
        <f t="shared" si="2"/>
        <v>0.2141379310344827</v>
      </c>
      <c r="R12" s="110">
        <f t="shared" si="3"/>
        <v>0.2141379310344827</v>
      </c>
      <c r="S12" s="110">
        <f t="shared" si="4"/>
        <v>0.2141379310344827</v>
      </c>
      <c r="T12" s="110">
        <f t="shared" si="5"/>
        <v>0.2141379310344827</v>
      </c>
      <c r="U12" s="110">
        <f t="shared" si="6"/>
        <v>0.2141379310344827</v>
      </c>
    </row>
    <row r="13" spans="2:21" x14ac:dyDescent="0.25">
      <c r="B13" s="104" t="str">
        <f>Oferta!B13</f>
        <v>Antena tipus Zigbee (PREU UNITARI 6)</v>
      </c>
      <c r="D13" s="113">
        <v>1.45</v>
      </c>
      <c r="E13" s="114">
        <v>0.37</v>
      </c>
      <c r="F13" s="115">
        <f>Oferta!C13</f>
        <v>45</v>
      </c>
      <c r="G13" s="116"/>
      <c r="H13" s="117">
        <f>Oferta!D13</f>
        <v>0</v>
      </c>
      <c r="I13" s="89">
        <v>45</v>
      </c>
      <c r="J13" s="89">
        <v>45</v>
      </c>
      <c r="K13" s="89">
        <v>45</v>
      </c>
      <c r="L13" s="89">
        <v>45</v>
      </c>
      <c r="M13" s="89">
        <v>45</v>
      </c>
      <c r="N13" s="111"/>
      <c r="O13" s="111"/>
      <c r="P13" s="110">
        <f t="shared" ref="P13" si="7">$E13*(1-((H13-MIN($H13:$M13))/$F13)*(1/$D13))</f>
        <v>0.37</v>
      </c>
      <c r="Q13" s="110">
        <f t="shared" ref="Q13" si="8">$E13*(1-((I13-MIN($H13:$M13))/$F13)*(1/$D13))</f>
        <v>0.11482758620689654</v>
      </c>
      <c r="R13" s="110">
        <f t="shared" ref="R13" si="9">$E13*(1-((J13-MIN($H13:$M13))/$F13)*(1/$D13))</f>
        <v>0.11482758620689654</v>
      </c>
      <c r="S13" s="110">
        <f t="shared" ref="S13" si="10">$E13*(1-((K13-MIN($H13:$M13))/$F13)*(1/$D13))</f>
        <v>0.11482758620689654</v>
      </c>
      <c r="T13" s="110">
        <f t="shared" ref="T13" si="11">$E13*(1-((L13-MIN($H13:$M13))/$F13)*(1/$D13))</f>
        <v>0.11482758620689654</v>
      </c>
      <c r="U13" s="110">
        <f t="shared" ref="U13" si="12">$E13*(1-((M13-MIN($H13:$M13))/$F13)*(1/$D13))</f>
        <v>0.11482758620689654</v>
      </c>
    </row>
    <row r="14" spans="2:21" x14ac:dyDescent="0.25">
      <c r="B14" s="104" t="str">
        <f>Oferta!B14</f>
        <v>Cost formació a SAD (PREU UNITARI 7)</v>
      </c>
      <c r="D14" s="113">
        <v>1.45</v>
      </c>
      <c r="E14" s="114">
        <v>0.36</v>
      </c>
      <c r="F14" s="115">
        <f>Oferta!C14</f>
        <v>420</v>
      </c>
      <c r="G14" s="116"/>
      <c r="H14" s="117">
        <f>Oferta!D14</f>
        <v>0</v>
      </c>
      <c r="I14" s="89">
        <v>420</v>
      </c>
      <c r="J14" s="89">
        <v>420</v>
      </c>
      <c r="K14" s="89">
        <v>420</v>
      </c>
      <c r="L14" s="89">
        <v>420</v>
      </c>
      <c r="M14" s="89">
        <v>420</v>
      </c>
      <c r="N14" s="109"/>
      <c r="O14" s="109"/>
      <c r="P14" s="110">
        <f t="shared" si="1"/>
        <v>0.36</v>
      </c>
      <c r="Q14" s="110">
        <f t="shared" si="2"/>
        <v>0.11172413793103446</v>
      </c>
      <c r="R14" s="110">
        <f t="shared" si="3"/>
        <v>0.11172413793103446</v>
      </c>
      <c r="S14" s="110">
        <f t="shared" si="4"/>
        <v>0.11172413793103446</v>
      </c>
      <c r="T14" s="110">
        <f t="shared" si="5"/>
        <v>0.11172413793103446</v>
      </c>
      <c r="U14" s="110">
        <f t="shared" si="6"/>
        <v>0.11172413793103446</v>
      </c>
    </row>
    <row r="15" spans="2:21" x14ac:dyDescent="0.25">
      <c r="B15" s="104" t="str">
        <f>Oferta!B15</f>
        <v>Cost anual suport i manteniment correctiu i evolutiu de la plataforma (PREU UNITARI 8)</v>
      </c>
      <c r="D15" s="113">
        <v>1.45</v>
      </c>
      <c r="E15" s="114">
        <v>8.17</v>
      </c>
      <c r="F15" s="115">
        <f>Oferta!C15</f>
        <v>25500</v>
      </c>
      <c r="G15" s="116"/>
      <c r="H15" s="117">
        <f>Oferta!D15</f>
        <v>0</v>
      </c>
      <c r="I15" s="89">
        <v>25500</v>
      </c>
      <c r="J15" s="89">
        <v>25500</v>
      </c>
      <c r="K15" s="89">
        <v>25500</v>
      </c>
      <c r="L15" s="89">
        <v>25500</v>
      </c>
      <c r="M15" s="89">
        <v>25500</v>
      </c>
      <c r="N15" s="109"/>
      <c r="O15" s="109"/>
      <c r="P15" s="110">
        <f t="shared" si="1"/>
        <v>8.17</v>
      </c>
      <c r="Q15" s="110">
        <f t="shared" si="2"/>
        <v>2.5355172413793099</v>
      </c>
      <c r="R15" s="110">
        <f t="shared" si="3"/>
        <v>2.5355172413793099</v>
      </c>
      <c r="S15" s="110">
        <f t="shared" si="4"/>
        <v>2.5355172413793099</v>
      </c>
      <c r="T15" s="110">
        <f t="shared" si="5"/>
        <v>2.5355172413793099</v>
      </c>
      <c r="U15" s="110">
        <f t="shared" si="6"/>
        <v>2.5355172413793099</v>
      </c>
    </row>
    <row r="16" spans="2:21" x14ac:dyDescent="0.25">
      <c r="B16" s="104" t="str">
        <f>Oferta!B16</f>
        <v>Cost instal·lació tipus 1 (Connexió fibra o banda ampla a la llar) (PREU UNITARI 9)</v>
      </c>
      <c r="D16" s="118">
        <v>1.45</v>
      </c>
      <c r="E16" s="114">
        <v>0.1</v>
      </c>
      <c r="F16" s="115">
        <f>Oferta!C16</f>
        <v>40</v>
      </c>
      <c r="G16" s="116"/>
      <c r="H16" s="117">
        <f>Oferta!D16</f>
        <v>0</v>
      </c>
      <c r="I16" s="89">
        <v>40</v>
      </c>
      <c r="J16" s="89">
        <v>40</v>
      </c>
      <c r="K16" s="89">
        <v>40</v>
      </c>
      <c r="L16" s="89">
        <v>40</v>
      </c>
      <c r="M16" s="89">
        <v>40</v>
      </c>
      <c r="N16" s="112"/>
      <c r="O16" s="112"/>
      <c r="P16" s="110">
        <f t="shared" si="1"/>
        <v>0.1</v>
      </c>
      <c r="Q16" s="110">
        <f t="shared" si="2"/>
        <v>3.1034482758620686E-2</v>
      </c>
      <c r="R16" s="110">
        <f t="shared" si="3"/>
        <v>3.1034482758620686E-2</v>
      </c>
      <c r="S16" s="110">
        <f t="shared" si="4"/>
        <v>3.1034482758620686E-2</v>
      </c>
      <c r="T16" s="110">
        <f t="shared" si="5"/>
        <v>3.1034482758620686E-2</v>
      </c>
      <c r="U16" s="110">
        <f t="shared" si="6"/>
        <v>3.1034482758620686E-2</v>
      </c>
    </row>
    <row r="17" spans="2:21" x14ac:dyDescent="0.25">
      <c r="B17" s="104" t="str">
        <f>Oferta!B17</f>
        <v>Cost instal·lació tipus 2 (Connexió per telefonia mòbil 5G) (PREU UNITARI 10)</v>
      </c>
      <c r="D17" s="118">
        <v>1.45</v>
      </c>
      <c r="E17" s="114">
        <v>0.15</v>
      </c>
      <c r="F17" s="115">
        <f>Oferta!C17</f>
        <v>50</v>
      </c>
      <c r="G17" s="116"/>
      <c r="H17" s="117">
        <f>Oferta!D17</f>
        <v>0</v>
      </c>
      <c r="I17" s="89">
        <v>50</v>
      </c>
      <c r="J17" s="89">
        <v>50</v>
      </c>
      <c r="K17" s="89">
        <v>50</v>
      </c>
      <c r="L17" s="89">
        <v>50</v>
      </c>
      <c r="M17" s="89">
        <v>50</v>
      </c>
      <c r="N17" s="112"/>
      <c r="O17" s="112"/>
      <c r="P17" s="110">
        <f t="shared" si="1"/>
        <v>0.15</v>
      </c>
      <c r="Q17" s="110">
        <f t="shared" si="2"/>
        <v>4.6551724137931023E-2</v>
      </c>
      <c r="R17" s="110">
        <f t="shared" si="3"/>
        <v>4.6551724137931023E-2</v>
      </c>
      <c r="S17" s="110">
        <f t="shared" si="4"/>
        <v>4.6551724137931023E-2</v>
      </c>
      <c r="T17" s="110">
        <f t="shared" si="5"/>
        <v>4.6551724137931023E-2</v>
      </c>
      <c r="U17" s="110">
        <f t="shared" si="6"/>
        <v>4.6551724137931023E-2</v>
      </c>
    </row>
    <row r="18" spans="2:21" x14ac:dyDescent="0.25">
      <c r="B18" s="104" t="str">
        <f>Oferta!B18</f>
        <v>Cost instal·lació tipus 3 (Connexió mitjançant sistema ràdio) (P.U. 11)</v>
      </c>
      <c r="D18" s="118">
        <v>1.45</v>
      </c>
      <c r="E18" s="114">
        <v>0.24</v>
      </c>
      <c r="F18" s="115">
        <f>Oferta!C18</f>
        <v>200</v>
      </c>
      <c r="G18" s="116"/>
      <c r="H18" s="117">
        <f>Oferta!D18</f>
        <v>0</v>
      </c>
      <c r="I18" s="89">
        <v>200</v>
      </c>
      <c r="J18" s="89">
        <v>200</v>
      </c>
      <c r="K18" s="89">
        <v>200</v>
      </c>
      <c r="L18" s="89">
        <v>200</v>
      </c>
      <c r="M18" s="89">
        <v>200</v>
      </c>
      <c r="N18" s="112"/>
      <c r="O18" s="112"/>
      <c r="P18" s="110">
        <f t="shared" si="1"/>
        <v>0.24</v>
      </c>
      <c r="Q18" s="110">
        <f t="shared" si="2"/>
        <v>7.4482758620689635E-2</v>
      </c>
      <c r="R18" s="110">
        <f t="shared" si="3"/>
        <v>7.4482758620689635E-2</v>
      </c>
      <c r="S18" s="110">
        <f t="shared" si="4"/>
        <v>7.4482758620689635E-2</v>
      </c>
      <c r="T18" s="110">
        <f t="shared" si="5"/>
        <v>7.4482758620689635E-2</v>
      </c>
      <c r="U18" s="110">
        <f t="shared" si="6"/>
        <v>7.4482758620689635E-2</v>
      </c>
    </row>
    <row r="19" spans="2:21" x14ac:dyDescent="0.25">
      <c r="B19" s="104" t="str">
        <f>Oferta!B19</f>
        <v>Cost instal·lació tipus 4 (Connexió mitjançant satèl·lit) (PREU UNITARI 12)</v>
      </c>
      <c r="D19" s="118">
        <v>1.45</v>
      </c>
      <c r="E19" s="114">
        <v>0.05</v>
      </c>
      <c r="F19" s="115">
        <f>Oferta!C19</f>
        <v>500</v>
      </c>
      <c r="G19" s="116"/>
      <c r="H19" s="117">
        <f>Oferta!D19</f>
        <v>0</v>
      </c>
      <c r="I19" s="89">
        <v>500</v>
      </c>
      <c r="J19" s="89">
        <v>500</v>
      </c>
      <c r="K19" s="89">
        <v>500</v>
      </c>
      <c r="L19" s="89">
        <v>500</v>
      </c>
      <c r="M19" s="89">
        <v>500</v>
      </c>
      <c r="N19" s="112"/>
      <c r="O19" s="112"/>
      <c r="P19" s="110">
        <f t="shared" si="1"/>
        <v>0.05</v>
      </c>
      <c r="Q19" s="110">
        <f t="shared" si="2"/>
        <v>1.5517241379310343E-2</v>
      </c>
      <c r="R19" s="110">
        <f t="shared" si="3"/>
        <v>1.5517241379310343E-2</v>
      </c>
      <c r="S19" s="110">
        <f t="shared" si="4"/>
        <v>1.5517241379310343E-2</v>
      </c>
      <c r="T19" s="110">
        <f t="shared" si="5"/>
        <v>1.5517241379310343E-2</v>
      </c>
      <c r="U19" s="110">
        <f t="shared" si="6"/>
        <v>1.5517241379310343E-2</v>
      </c>
    </row>
    <row r="20" spans="2:21" x14ac:dyDescent="0.25">
      <c r="B20" s="104" t="str">
        <f>Oferta!B20</f>
        <v>Cost quota mensual connexió tipus 1 (Connexió fibra o banda ampla a la llar) (PREU UNITARI 13)</v>
      </c>
      <c r="D20" s="118">
        <v>1</v>
      </c>
      <c r="E20" s="114">
        <v>8.1</v>
      </c>
      <c r="F20" s="115">
        <f>Oferta!C20</f>
        <v>35</v>
      </c>
      <c r="G20" s="116"/>
      <c r="H20" s="117">
        <f>Oferta!D20</f>
        <v>0</v>
      </c>
      <c r="I20" s="89">
        <v>35</v>
      </c>
      <c r="J20" s="89">
        <v>35</v>
      </c>
      <c r="K20" s="89">
        <v>35</v>
      </c>
      <c r="L20" s="89">
        <v>35</v>
      </c>
      <c r="M20" s="89">
        <v>35</v>
      </c>
      <c r="N20" s="112"/>
      <c r="O20" s="112"/>
      <c r="P20" s="110">
        <f t="shared" si="1"/>
        <v>8.1</v>
      </c>
      <c r="Q20" s="110">
        <f t="shared" si="2"/>
        <v>0</v>
      </c>
      <c r="R20" s="110">
        <f t="shared" si="3"/>
        <v>0</v>
      </c>
      <c r="S20" s="110">
        <f t="shared" si="4"/>
        <v>0</v>
      </c>
      <c r="T20" s="110">
        <f t="shared" si="5"/>
        <v>0</v>
      </c>
      <c r="U20" s="110">
        <f t="shared" si="6"/>
        <v>0</v>
      </c>
    </row>
    <row r="21" spans="2:21" x14ac:dyDescent="0.25">
      <c r="B21" s="104" t="str">
        <f>Oferta!B21</f>
        <v>Cost quota mensual connexió 2 (Connexió per telefonia mòbil 5G) (PREU UNITARI 14)</v>
      </c>
      <c r="D21" s="118">
        <v>1</v>
      </c>
      <c r="E21" s="114">
        <v>4.4400000000000004</v>
      </c>
      <c r="F21" s="115">
        <f>Oferta!C21</f>
        <v>15</v>
      </c>
      <c r="G21" s="116"/>
      <c r="H21" s="117">
        <f>Oferta!D21</f>
        <v>0</v>
      </c>
      <c r="I21" s="89">
        <v>15</v>
      </c>
      <c r="J21" s="89">
        <v>15</v>
      </c>
      <c r="K21" s="89">
        <v>15</v>
      </c>
      <c r="L21" s="89">
        <v>15</v>
      </c>
      <c r="M21" s="89">
        <v>15</v>
      </c>
      <c r="N21" s="112"/>
      <c r="O21" s="112"/>
      <c r="P21" s="110">
        <f t="shared" si="1"/>
        <v>4.4400000000000004</v>
      </c>
      <c r="Q21" s="110">
        <f t="shared" si="2"/>
        <v>0</v>
      </c>
      <c r="R21" s="110">
        <f t="shared" si="3"/>
        <v>0</v>
      </c>
      <c r="S21" s="110">
        <f t="shared" si="4"/>
        <v>0</v>
      </c>
      <c r="T21" s="110">
        <f t="shared" si="5"/>
        <v>0</v>
      </c>
      <c r="U21" s="110">
        <f t="shared" si="6"/>
        <v>0</v>
      </c>
    </row>
    <row r="22" spans="2:21" x14ac:dyDescent="0.25">
      <c r="B22" s="104" t="str">
        <f>Oferta!B22</f>
        <v>Cost quota mensual connexió tipus 3 (Connexió connexió mitjançant sistema ràdio) (P.U. 15)</v>
      </c>
      <c r="D22" s="118">
        <v>1</v>
      </c>
      <c r="E22" s="114">
        <v>3.5</v>
      </c>
      <c r="F22" s="115">
        <f>Oferta!C22</f>
        <v>30</v>
      </c>
      <c r="G22" s="116"/>
      <c r="H22" s="117">
        <f>Oferta!D22</f>
        <v>0</v>
      </c>
      <c r="I22" s="89">
        <v>30</v>
      </c>
      <c r="J22" s="89">
        <v>30</v>
      </c>
      <c r="K22" s="89">
        <v>30</v>
      </c>
      <c r="L22" s="89">
        <v>30</v>
      </c>
      <c r="M22" s="89">
        <v>30</v>
      </c>
      <c r="N22" s="112"/>
      <c r="O22" s="112"/>
      <c r="P22" s="110">
        <f t="shared" si="1"/>
        <v>3.5</v>
      </c>
      <c r="Q22" s="110">
        <f t="shared" si="2"/>
        <v>0</v>
      </c>
      <c r="R22" s="110">
        <f t="shared" si="3"/>
        <v>0</v>
      </c>
      <c r="S22" s="110">
        <f t="shared" si="4"/>
        <v>0</v>
      </c>
      <c r="T22" s="110">
        <f t="shared" si="5"/>
        <v>0</v>
      </c>
      <c r="U22" s="110">
        <f t="shared" si="6"/>
        <v>0</v>
      </c>
    </row>
    <row r="23" spans="2:21" x14ac:dyDescent="0.25">
      <c r="B23" s="104" t="str">
        <f>Oferta!B23</f>
        <v>Cost quota mensual connexió tipus 4 (Connexió mitjançant satèl·lit) (PREU UNITARI 16)</v>
      </c>
      <c r="D23" s="118">
        <v>1</v>
      </c>
      <c r="E23" s="114">
        <v>0.42</v>
      </c>
      <c r="F23" s="115">
        <f>Oferta!C23</f>
        <v>50</v>
      </c>
      <c r="G23" s="116"/>
      <c r="H23" s="117">
        <f>Oferta!D23</f>
        <v>0</v>
      </c>
      <c r="I23" s="89">
        <v>50</v>
      </c>
      <c r="J23" s="89">
        <v>50</v>
      </c>
      <c r="K23" s="89">
        <v>50</v>
      </c>
      <c r="L23" s="89">
        <v>50</v>
      </c>
      <c r="M23" s="89">
        <v>50</v>
      </c>
      <c r="N23" s="112"/>
      <c r="O23" s="112"/>
      <c r="P23" s="110">
        <f t="shared" si="1"/>
        <v>0.42</v>
      </c>
      <c r="Q23" s="110">
        <f t="shared" si="2"/>
        <v>0</v>
      </c>
      <c r="R23" s="110">
        <f t="shared" si="3"/>
        <v>0</v>
      </c>
      <c r="S23" s="110">
        <f t="shared" si="4"/>
        <v>0</v>
      </c>
      <c r="T23" s="110">
        <f t="shared" si="5"/>
        <v>0</v>
      </c>
      <c r="U23" s="110">
        <f t="shared" si="6"/>
        <v>0</v>
      </c>
    </row>
    <row r="24" spans="2:21" ht="15.75" thickBot="1" x14ac:dyDescent="0.3">
      <c r="B24" s="107" t="str">
        <f>Oferta!B24</f>
        <v>Cost anual d'allotjament CLOUD (PREU UNITARI 17)</v>
      </c>
      <c r="D24" s="119">
        <v>1</v>
      </c>
      <c r="E24" s="120">
        <v>1.66</v>
      </c>
      <c r="F24" s="121">
        <f>Oferta!C24</f>
        <v>4500</v>
      </c>
      <c r="G24" s="116"/>
      <c r="H24" s="117">
        <f>Oferta!D24</f>
        <v>0</v>
      </c>
      <c r="I24" s="89">
        <v>4500</v>
      </c>
      <c r="J24" s="89">
        <v>4500</v>
      </c>
      <c r="K24" s="89">
        <v>4500</v>
      </c>
      <c r="L24" s="89">
        <v>4500</v>
      </c>
      <c r="M24" s="89">
        <v>4500</v>
      </c>
      <c r="N24" s="112"/>
      <c r="O24" s="112"/>
      <c r="P24" s="110">
        <f t="shared" ref="P24" si="13">$E24*(1-((H24-MIN($H24:$M24))/$F24)*(1/$D24))</f>
        <v>1.66</v>
      </c>
      <c r="Q24" s="110">
        <f t="shared" ref="Q24" si="14">$E24*(1-((I24-MIN($H24:$M24))/$F24)*(1/$D24))</f>
        <v>0</v>
      </c>
      <c r="R24" s="110">
        <f t="shared" ref="R24" si="15">$E24*(1-((J24-MIN($H24:$M24))/$F24)*(1/$D24))</f>
        <v>0</v>
      </c>
      <c r="S24" s="110">
        <f t="shared" ref="S24" si="16">$E24*(1-((K24-MIN($H24:$M24))/$F24)*(1/$D24))</f>
        <v>0</v>
      </c>
      <c r="T24" s="110">
        <f t="shared" ref="T24" si="17">$E24*(1-((L24-MIN($H24:$M24))/$F24)*(1/$D24))</f>
        <v>0</v>
      </c>
      <c r="U24" s="110">
        <f t="shared" ref="U24" si="18">$E24*(1-((M24-MIN($H24:$M24))/$F24)*(1/$D24))</f>
        <v>0</v>
      </c>
    </row>
    <row r="26" spans="2:21" ht="15.75" thickBot="1" x14ac:dyDescent="0.3">
      <c r="P26" s="90">
        <f>SUM(P6:P24)</f>
        <v>65</v>
      </c>
      <c r="Q26" s="90">
        <f>SUM(Q6:Q24)</f>
        <v>18.194712643678159</v>
      </c>
      <c r="R26" s="90">
        <f t="shared" ref="R26:U26" si="19">SUM(R6:R24)</f>
        <v>18.194712643678159</v>
      </c>
      <c r="S26" s="90">
        <f t="shared" si="19"/>
        <v>18.194712643678159</v>
      </c>
      <c r="T26" s="90">
        <f t="shared" si="19"/>
        <v>18.194712643678159</v>
      </c>
      <c r="U26" s="90">
        <f t="shared" si="19"/>
        <v>18.194712643678159</v>
      </c>
    </row>
    <row r="27" spans="2:21" x14ac:dyDescent="0.25">
      <c r="B27" s="91" t="s">
        <v>128</v>
      </c>
      <c r="D27" s="92" t="s">
        <v>129</v>
      </c>
      <c r="E27" s="93" t="s">
        <v>131</v>
      </c>
      <c r="F27" s="94" t="s">
        <v>130</v>
      </c>
      <c r="H27" s="95" t="s">
        <v>132</v>
      </c>
      <c r="I27" s="95"/>
      <c r="J27" s="95"/>
      <c r="K27" s="95"/>
      <c r="L27" s="95"/>
      <c r="M27" s="95"/>
    </row>
    <row r="28" spans="2:21" ht="15.75" thickBot="1" x14ac:dyDescent="0.3">
      <c r="B28" s="96"/>
      <c r="D28" s="92"/>
      <c r="E28" s="97"/>
      <c r="F28" s="94"/>
      <c r="H28" s="98" t="s">
        <v>29</v>
      </c>
      <c r="I28" s="98" t="s">
        <v>121</v>
      </c>
      <c r="J28" s="98" t="s">
        <v>122</v>
      </c>
      <c r="K28" s="98" t="s">
        <v>27</v>
      </c>
      <c r="L28" s="98" t="s">
        <v>123</v>
      </c>
      <c r="M28" s="98" t="s">
        <v>28</v>
      </c>
    </row>
    <row r="29" spans="2:21" x14ac:dyDescent="0.25">
      <c r="B29" s="99" t="str">
        <f>B6</f>
        <v>Desenvolupament de la plataforma</v>
      </c>
      <c r="D29" s="100">
        <f>AVERAGE(H6:M6)</f>
        <v>382726.66666666669</v>
      </c>
      <c r="E29" s="101">
        <v>0.05</v>
      </c>
      <c r="F29" s="102">
        <f>D29*(1-E29)</f>
        <v>363590.33333333331</v>
      </c>
      <c r="H29" s="103" t="str">
        <f>IF(H6&lt;$F29,"S","")</f>
        <v>S</v>
      </c>
      <c r="I29" s="103" t="str">
        <f t="shared" ref="I29:M29" si="20">IF(I6&lt;$F29,"S","")</f>
        <v/>
      </c>
      <c r="J29" s="103" t="str">
        <f t="shared" si="20"/>
        <v/>
      </c>
      <c r="K29" s="103" t="str">
        <f t="shared" si="20"/>
        <v/>
      </c>
      <c r="L29" s="103" t="str">
        <f t="shared" si="20"/>
        <v/>
      </c>
      <c r="M29" s="103" t="str">
        <f t="shared" si="20"/>
        <v/>
      </c>
    </row>
    <row r="30" spans="2:21" x14ac:dyDescent="0.25">
      <c r="B30" s="104" t="str">
        <f t="shared" ref="B30:B46" si="21">B8</f>
        <v>Cost unitari per llar instal·lació inicial o retirada equipament (PREU UNITARI 1)</v>
      </c>
      <c r="D30" s="100">
        <f t="shared" ref="D30:D46" si="22">AVERAGE(H8:M8)</f>
        <v>618.75</v>
      </c>
      <c r="E30" s="105">
        <v>0.1</v>
      </c>
      <c r="F30" s="102">
        <f t="shared" ref="F30:F45" si="23">D30*(1-E30)</f>
        <v>556.875</v>
      </c>
      <c r="G30" s="106"/>
      <c r="H30" s="103" t="str">
        <f t="shared" ref="H30:M30" si="24">IF(H8&lt;$F30,"S","")</f>
        <v>S</v>
      </c>
      <c r="I30" s="103" t="str">
        <f t="shared" si="24"/>
        <v/>
      </c>
      <c r="J30" s="103" t="str">
        <f t="shared" si="24"/>
        <v/>
      </c>
      <c r="K30" s="103" t="str">
        <f t="shared" si="24"/>
        <v/>
      </c>
      <c r="L30" s="103" t="str">
        <f t="shared" si="24"/>
        <v/>
      </c>
      <c r="M30" s="103" t="str">
        <f t="shared" si="24"/>
        <v/>
      </c>
    </row>
    <row r="31" spans="2:21" x14ac:dyDescent="0.25">
      <c r="B31" s="104" t="str">
        <f t="shared" si="21"/>
        <v>Assitent de veu + mini pc + altaveu + micro + solució compacte (PREU UNITARI 2)</v>
      </c>
      <c r="D31" s="100">
        <f t="shared" si="22"/>
        <v>241.66666666666666</v>
      </c>
      <c r="E31" s="105">
        <v>0.1</v>
      </c>
      <c r="F31" s="102">
        <f t="shared" si="23"/>
        <v>217.5</v>
      </c>
      <c r="H31" s="103" t="str">
        <f t="shared" ref="H31:M31" si="25">IF(H9&lt;$F31,"S","")</f>
        <v>S</v>
      </c>
      <c r="I31" s="103" t="str">
        <f t="shared" si="25"/>
        <v/>
      </c>
      <c r="J31" s="103" t="str">
        <f t="shared" si="25"/>
        <v/>
      </c>
      <c r="K31" s="103" t="str">
        <f t="shared" si="25"/>
        <v/>
      </c>
      <c r="L31" s="103" t="str">
        <f t="shared" si="25"/>
        <v/>
      </c>
      <c r="M31" s="103" t="str">
        <f t="shared" si="25"/>
        <v/>
      </c>
    </row>
    <row r="32" spans="2:21" x14ac:dyDescent="0.25">
      <c r="B32" s="104" t="str">
        <f t="shared" si="21"/>
        <v>Sensor PIR (PREU UNITARI 3)</v>
      </c>
      <c r="D32" s="100">
        <f t="shared" si="22"/>
        <v>29.166666666666668</v>
      </c>
      <c r="E32" s="105">
        <v>0.1</v>
      </c>
      <c r="F32" s="102">
        <f t="shared" si="23"/>
        <v>26.25</v>
      </c>
      <c r="H32" s="103" t="str">
        <f t="shared" ref="H32:M32" si="26">IF(H10&lt;$F32,"S","")</f>
        <v>S</v>
      </c>
      <c r="I32" s="103" t="str">
        <f t="shared" si="26"/>
        <v/>
      </c>
      <c r="J32" s="103" t="str">
        <f t="shared" si="26"/>
        <v/>
      </c>
      <c r="K32" s="103" t="str">
        <f t="shared" si="26"/>
        <v/>
      </c>
      <c r="L32" s="103" t="str">
        <f t="shared" si="26"/>
        <v/>
      </c>
      <c r="M32" s="103" t="str">
        <f t="shared" si="26"/>
        <v/>
      </c>
    </row>
    <row r="33" spans="2:13" x14ac:dyDescent="0.25">
      <c r="B33" s="104" t="str">
        <f t="shared" si="21"/>
        <v>Sensor porta (PREU UNITARI 4)</v>
      </c>
      <c r="D33" s="100">
        <f t="shared" si="22"/>
        <v>33.333333333333336</v>
      </c>
      <c r="E33" s="105">
        <v>0.1</v>
      </c>
      <c r="F33" s="102">
        <f t="shared" si="23"/>
        <v>30.000000000000004</v>
      </c>
      <c r="H33" s="103" t="str">
        <f t="shared" ref="H33:M33" si="27">IF(H11&lt;$F33,"S","")</f>
        <v>S</v>
      </c>
      <c r="I33" s="103" t="str">
        <f t="shared" si="27"/>
        <v/>
      </c>
      <c r="J33" s="103" t="str">
        <f t="shared" si="27"/>
        <v/>
      </c>
      <c r="K33" s="103" t="str">
        <f t="shared" si="27"/>
        <v/>
      </c>
      <c r="L33" s="103" t="str">
        <f t="shared" si="27"/>
        <v/>
      </c>
      <c r="M33" s="103" t="str">
        <f t="shared" si="27"/>
        <v/>
      </c>
    </row>
    <row r="34" spans="2:13" x14ac:dyDescent="0.25">
      <c r="B34" s="104" t="str">
        <f t="shared" si="21"/>
        <v>Sensor Temperatura i Humitat (PREU UNITARI 5)</v>
      </c>
      <c r="D34" s="100">
        <f t="shared" si="22"/>
        <v>45.833333333333336</v>
      </c>
      <c r="E34" s="105">
        <v>0.1</v>
      </c>
      <c r="F34" s="102">
        <f t="shared" si="23"/>
        <v>41.25</v>
      </c>
      <c r="H34" s="103" t="str">
        <f t="shared" ref="H34:M35" si="28">IF(H12&lt;$F34,"S","")</f>
        <v>S</v>
      </c>
      <c r="I34" s="103" t="str">
        <f t="shared" si="28"/>
        <v/>
      </c>
      <c r="J34" s="103" t="str">
        <f t="shared" si="28"/>
        <v/>
      </c>
      <c r="K34" s="103" t="str">
        <f t="shared" si="28"/>
        <v/>
      </c>
      <c r="L34" s="103" t="str">
        <f t="shared" si="28"/>
        <v/>
      </c>
      <c r="M34" s="103" t="str">
        <f t="shared" si="28"/>
        <v/>
      </c>
    </row>
    <row r="35" spans="2:13" x14ac:dyDescent="0.25">
      <c r="B35" s="104" t="str">
        <f t="shared" si="21"/>
        <v>Antena tipus Zigbee (PREU UNITARI 6)</v>
      </c>
      <c r="D35" s="100">
        <f t="shared" si="22"/>
        <v>37.5</v>
      </c>
      <c r="E35" s="105">
        <v>0.1</v>
      </c>
      <c r="F35" s="102">
        <f t="shared" si="23"/>
        <v>33.75</v>
      </c>
      <c r="H35" s="103" t="str">
        <f t="shared" si="28"/>
        <v>S</v>
      </c>
      <c r="I35" s="103" t="str">
        <f t="shared" si="28"/>
        <v/>
      </c>
      <c r="J35" s="103" t="str">
        <f t="shared" si="28"/>
        <v/>
      </c>
      <c r="K35" s="103" t="str">
        <f t="shared" si="28"/>
        <v/>
      </c>
      <c r="L35" s="103" t="str">
        <f t="shared" si="28"/>
        <v/>
      </c>
      <c r="M35" s="103" t="str">
        <f t="shared" si="28"/>
        <v/>
      </c>
    </row>
    <row r="36" spans="2:13" x14ac:dyDescent="0.25">
      <c r="B36" s="104" t="str">
        <f t="shared" si="21"/>
        <v>Cost formació a SAD (PREU UNITARI 7)</v>
      </c>
      <c r="D36" s="100">
        <f t="shared" si="22"/>
        <v>350</v>
      </c>
      <c r="E36" s="105">
        <v>0.1</v>
      </c>
      <c r="F36" s="102">
        <f t="shared" si="23"/>
        <v>315</v>
      </c>
      <c r="H36" s="103" t="str">
        <f t="shared" ref="H36:M36" si="29">IF(H14&lt;$F36,"S","")</f>
        <v>S</v>
      </c>
      <c r="I36" s="103" t="str">
        <f t="shared" si="29"/>
        <v/>
      </c>
      <c r="J36" s="103" t="str">
        <f t="shared" si="29"/>
        <v/>
      </c>
      <c r="K36" s="103" t="str">
        <f t="shared" si="29"/>
        <v/>
      </c>
      <c r="L36" s="103" t="str">
        <f t="shared" si="29"/>
        <v/>
      </c>
      <c r="M36" s="103" t="str">
        <f t="shared" si="29"/>
        <v/>
      </c>
    </row>
    <row r="37" spans="2:13" x14ac:dyDescent="0.25">
      <c r="B37" s="104" t="str">
        <f t="shared" si="21"/>
        <v>Cost anual suport i manteniment correctiu i evolutiu de la plataforma (PREU UNITARI 8)</v>
      </c>
      <c r="D37" s="100">
        <f t="shared" si="22"/>
        <v>21250</v>
      </c>
      <c r="E37" s="105">
        <v>0.1</v>
      </c>
      <c r="F37" s="102">
        <f t="shared" si="23"/>
        <v>19125</v>
      </c>
      <c r="H37" s="103" t="str">
        <f t="shared" ref="H37:M37" si="30">IF(H15&lt;$F37,"S","")</f>
        <v>S</v>
      </c>
      <c r="I37" s="103" t="str">
        <f t="shared" si="30"/>
        <v/>
      </c>
      <c r="J37" s="103" t="str">
        <f t="shared" si="30"/>
        <v/>
      </c>
      <c r="K37" s="103" t="str">
        <f t="shared" si="30"/>
        <v/>
      </c>
      <c r="L37" s="103" t="str">
        <f t="shared" si="30"/>
        <v/>
      </c>
      <c r="M37" s="103" t="str">
        <f t="shared" si="30"/>
        <v/>
      </c>
    </row>
    <row r="38" spans="2:13" x14ac:dyDescent="0.25">
      <c r="B38" s="104" t="str">
        <f t="shared" si="21"/>
        <v>Cost instal·lació tipus 1 (Connexió fibra o banda ampla a la llar) (PREU UNITARI 9)</v>
      </c>
      <c r="D38" s="100">
        <f t="shared" si="22"/>
        <v>33.333333333333336</v>
      </c>
      <c r="E38" s="105">
        <v>0.1</v>
      </c>
      <c r="F38" s="102">
        <f t="shared" si="23"/>
        <v>30.000000000000004</v>
      </c>
      <c r="H38" s="103" t="str">
        <f t="shared" ref="H38:M38" si="31">IF(H16&lt;$F38,"S","")</f>
        <v>S</v>
      </c>
      <c r="I38" s="103" t="str">
        <f t="shared" si="31"/>
        <v/>
      </c>
      <c r="J38" s="103" t="str">
        <f t="shared" si="31"/>
        <v/>
      </c>
      <c r="K38" s="103" t="str">
        <f t="shared" si="31"/>
        <v/>
      </c>
      <c r="L38" s="103" t="str">
        <f t="shared" si="31"/>
        <v/>
      </c>
      <c r="M38" s="103" t="str">
        <f t="shared" si="31"/>
        <v/>
      </c>
    </row>
    <row r="39" spans="2:13" x14ac:dyDescent="0.25">
      <c r="B39" s="104" t="str">
        <f t="shared" si="21"/>
        <v>Cost instal·lació tipus 2 (Connexió per telefonia mòbil 5G) (PREU UNITARI 10)</v>
      </c>
      <c r="D39" s="100">
        <f t="shared" si="22"/>
        <v>41.666666666666664</v>
      </c>
      <c r="E39" s="105">
        <v>0.1</v>
      </c>
      <c r="F39" s="102">
        <f t="shared" si="23"/>
        <v>37.5</v>
      </c>
      <c r="H39" s="103" t="str">
        <f t="shared" ref="H39:M39" si="32">IF(H17&lt;$F39,"S","")</f>
        <v>S</v>
      </c>
      <c r="I39" s="103" t="str">
        <f t="shared" si="32"/>
        <v/>
      </c>
      <c r="J39" s="103" t="str">
        <f t="shared" si="32"/>
        <v/>
      </c>
      <c r="K39" s="103" t="str">
        <f t="shared" si="32"/>
        <v/>
      </c>
      <c r="L39" s="103" t="str">
        <f t="shared" si="32"/>
        <v/>
      </c>
      <c r="M39" s="103" t="str">
        <f t="shared" si="32"/>
        <v/>
      </c>
    </row>
    <row r="40" spans="2:13" x14ac:dyDescent="0.25">
      <c r="B40" s="104" t="str">
        <f t="shared" si="21"/>
        <v>Cost instal·lació tipus 3 (Connexió mitjançant sistema ràdio) (P.U. 11)</v>
      </c>
      <c r="D40" s="100">
        <f t="shared" si="22"/>
        <v>166.66666666666666</v>
      </c>
      <c r="E40" s="105">
        <v>0.1</v>
      </c>
      <c r="F40" s="102">
        <f t="shared" si="23"/>
        <v>150</v>
      </c>
      <c r="H40" s="103" t="str">
        <f t="shared" ref="H40:M40" si="33">IF(H18&lt;$F40,"S","")</f>
        <v>S</v>
      </c>
      <c r="I40" s="103" t="str">
        <f t="shared" si="33"/>
        <v/>
      </c>
      <c r="J40" s="103" t="str">
        <f t="shared" si="33"/>
        <v/>
      </c>
      <c r="K40" s="103" t="str">
        <f t="shared" si="33"/>
        <v/>
      </c>
      <c r="L40" s="103" t="str">
        <f t="shared" si="33"/>
        <v/>
      </c>
      <c r="M40" s="103" t="str">
        <f t="shared" si="33"/>
        <v/>
      </c>
    </row>
    <row r="41" spans="2:13" x14ac:dyDescent="0.25">
      <c r="B41" s="104" t="str">
        <f t="shared" si="21"/>
        <v>Cost instal·lació tipus 4 (Connexió mitjançant satèl·lit) (PREU UNITARI 12)</v>
      </c>
      <c r="D41" s="100">
        <f t="shared" si="22"/>
        <v>416.66666666666669</v>
      </c>
      <c r="E41" s="105">
        <v>0.1</v>
      </c>
      <c r="F41" s="102">
        <f t="shared" si="23"/>
        <v>375</v>
      </c>
      <c r="H41" s="103" t="str">
        <f t="shared" ref="H41:M41" si="34">IF(H19&lt;$F41,"S","")</f>
        <v>S</v>
      </c>
      <c r="I41" s="103" t="str">
        <f t="shared" si="34"/>
        <v/>
      </c>
      <c r="J41" s="103" t="str">
        <f t="shared" si="34"/>
        <v/>
      </c>
      <c r="K41" s="103" t="str">
        <f t="shared" si="34"/>
        <v/>
      </c>
      <c r="L41" s="103" t="str">
        <f t="shared" si="34"/>
        <v/>
      </c>
      <c r="M41" s="103" t="str">
        <f t="shared" si="34"/>
        <v/>
      </c>
    </row>
    <row r="42" spans="2:13" x14ac:dyDescent="0.25">
      <c r="B42" s="104" t="str">
        <f t="shared" si="21"/>
        <v>Cost quota mensual connexió tipus 1 (Connexió fibra o banda ampla a la llar) (PREU UNITARI 13)</v>
      </c>
      <c r="D42" s="100">
        <f t="shared" si="22"/>
        <v>29.166666666666668</v>
      </c>
      <c r="E42" s="105">
        <v>0.2</v>
      </c>
      <c r="F42" s="102">
        <f t="shared" si="23"/>
        <v>23.333333333333336</v>
      </c>
      <c r="H42" s="103" t="str">
        <f t="shared" ref="H42:M42" si="35">IF(H20&lt;$F42,"S","")</f>
        <v>S</v>
      </c>
      <c r="I42" s="103" t="str">
        <f t="shared" si="35"/>
        <v/>
      </c>
      <c r="J42" s="103" t="str">
        <f t="shared" si="35"/>
        <v/>
      </c>
      <c r="K42" s="103" t="str">
        <f t="shared" si="35"/>
        <v/>
      </c>
      <c r="L42" s="103" t="str">
        <f t="shared" si="35"/>
        <v/>
      </c>
      <c r="M42" s="103" t="str">
        <f t="shared" si="35"/>
        <v/>
      </c>
    </row>
    <row r="43" spans="2:13" x14ac:dyDescent="0.25">
      <c r="B43" s="104" t="str">
        <f t="shared" si="21"/>
        <v>Cost quota mensual connexió 2 (Connexió per telefonia mòbil 5G) (PREU UNITARI 14)</v>
      </c>
      <c r="D43" s="100">
        <f t="shared" si="22"/>
        <v>12.5</v>
      </c>
      <c r="E43" s="105">
        <v>0.2</v>
      </c>
      <c r="F43" s="102">
        <f t="shared" si="23"/>
        <v>10</v>
      </c>
      <c r="H43" s="103" t="str">
        <f t="shared" ref="H43:M43" si="36">IF(H21&lt;$F43,"S","")</f>
        <v>S</v>
      </c>
      <c r="I43" s="103" t="str">
        <f t="shared" si="36"/>
        <v/>
      </c>
      <c r="J43" s="103" t="str">
        <f t="shared" si="36"/>
        <v/>
      </c>
      <c r="K43" s="103" t="str">
        <f t="shared" si="36"/>
        <v/>
      </c>
      <c r="L43" s="103" t="str">
        <f t="shared" si="36"/>
        <v/>
      </c>
      <c r="M43" s="103" t="str">
        <f t="shared" si="36"/>
        <v/>
      </c>
    </row>
    <row r="44" spans="2:13" x14ac:dyDescent="0.25">
      <c r="B44" s="104" t="str">
        <f t="shared" si="21"/>
        <v>Cost quota mensual connexió tipus 3 (Connexió connexió mitjançant sistema ràdio) (P.U. 15)</v>
      </c>
      <c r="D44" s="100">
        <f t="shared" si="22"/>
        <v>25</v>
      </c>
      <c r="E44" s="105">
        <v>0.2</v>
      </c>
      <c r="F44" s="102">
        <f t="shared" si="23"/>
        <v>20</v>
      </c>
      <c r="H44" s="103" t="str">
        <f t="shared" ref="H44:M44" si="37">IF(H22&lt;$F44,"S","")</f>
        <v>S</v>
      </c>
      <c r="I44" s="103" t="str">
        <f t="shared" si="37"/>
        <v/>
      </c>
      <c r="J44" s="103" t="str">
        <f t="shared" si="37"/>
        <v/>
      </c>
      <c r="K44" s="103" t="str">
        <f t="shared" si="37"/>
        <v/>
      </c>
      <c r="L44" s="103" t="str">
        <f t="shared" si="37"/>
        <v/>
      </c>
      <c r="M44" s="103" t="str">
        <f t="shared" si="37"/>
        <v/>
      </c>
    </row>
    <row r="45" spans="2:13" x14ac:dyDescent="0.25">
      <c r="B45" s="104" t="str">
        <f t="shared" si="21"/>
        <v>Cost quota mensual connexió tipus 4 (Connexió mitjançant satèl·lit) (PREU UNITARI 16)</v>
      </c>
      <c r="D45" s="100">
        <f t="shared" si="22"/>
        <v>41.666666666666664</v>
      </c>
      <c r="E45" s="105">
        <v>0.2</v>
      </c>
      <c r="F45" s="102">
        <f t="shared" si="23"/>
        <v>33.333333333333336</v>
      </c>
      <c r="H45" s="103" t="str">
        <f t="shared" ref="H45:M46" si="38">IF(H23&lt;$F45,"S","")</f>
        <v>S</v>
      </c>
      <c r="I45" s="103" t="str">
        <f t="shared" si="38"/>
        <v/>
      </c>
      <c r="J45" s="103" t="str">
        <f t="shared" si="38"/>
        <v/>
      </c>
      <c r="K45" s="103" t="str">
        <f t="shared" si="38"/>
        <v/>
      </c>
      <c r="L45" s="103" t="str">
        <f t="shared" si="38"/>
        <v/>
      </c>
      <c r="M45" s="103" t="str">
        <f t="shared" si="38"/>
        <v/>
      </c>
    </row>
    <row r="46" spans="2:13" ht="15.75" thickBot="1" x14ac:dyDescent="0.3">
      <c r="B46" s="107" t="str">
        <f t="shared" si="21"/>
        <v>Cost anual d'allotjament CLOUD (PREU UNITARI 17)</v>
      </c>
      <c r="D46" s="100">
        <f t="shared" si="22"/>
        <v>3750</v>
      </c>
      <c r="E46" s="108">
        <v>0.2</v>
      </c>
      <c r="F46" s="102">
        <f t="shared" ref="F46" si="39">D46*(1-E46)</f>
        <v>3000</v>
      </c>
      <c r="H46" s="103" t="str">
        <f t="shared" si="38"/>
        <v>S</v>
      </c>
      <c r="I46" s="103" t="str">
        <f t="shared" si="38"/>
        <v/>
      </c>
      <c r="J46" s="103" t="str">
        <f t="shared" si="38"/>
        <v/>
      </c>
      <c r="K46" s="103" t="str">
        <f t="shared" si="38"/>
        <v/>
      </c>
      <c r="L46" s="103" t="str">
        <f t="shared" si="38"/>
        <v/>
      </c>
      <c r="M46" s="103" t="str">
        <f t="shared" si="38"/>
        <v/>
      </c>
    </row>
  </sheetData>
  <sheetProtection algorithmName="SHA-512" hashValue="ZUJbwEZ+EJ/B/SjLFsPbD2TigTFrwDR56VNM3wdMK/+dfsp1fQwX7YpUqR0igfpFVaCo7JJxdnpT0biz5vzgQA==" saltValue="1ugsqqEcAMSP3JLUcQuMEg==" spinCount="100000" sheet="1" objects="1" scenarios="1"/>
  <mergeCells count="7">
    <mergeCell ref="B27:B28"/>
    <mergeCell ref="P3:U3"/>
    <mergeCell ref="H3:M3"/>
    <mergeCell ref="H27:M27"/>
    <mergeCell ref="D27:D28"/>
    <mergeCell ref="E27:E28"/>
    <mergeCell ref="F27:F2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Oferta</vt:lpstr>
      <vt:lpstr>Implantació equipament</vt:lpstr>
      <vt:lpstr>Cost pròrroga i modificació</vt:lpstr>
      <vt:lpstr>Matriu valoració del preu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Casassas</dc:creator>
  <cp:lastModifiedBy>Toni Casassas</cp:lastModifiedBy>
  <dcterms:created xsi:type="dcterms:W3CDTF">2023-10-15T07:52:58Z</dcterms:created>
  <dcterms:modified xsi:type="dcterms:W3CDTF">2024-03-09T11:46:42Z</dcterms:modified>
</cp:coreProperties>
</file>