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7395" tabRatio="708" firstSheet="2" activeTab="2"/>
  </bookViews>
  <sheets>
    <sheet name="Cost liquidació 2 PAIDOS 2022" sheetId="7" r:id="rId1"/>
    <sheet name="SALARIS NOU CONVENI" sheetId="2" r:id="rId2"/>
    <sheet name="Annex 4 bis" sheetId="6" r:id="rId3"/>
  </sheets>
  <calcPr calcId="145621" fullPrecision="0"/>
</workbook>
</file>

<file path=xl/calcChain.xml><?xml version="1.0" encoding="utf-8"?>
<calcChain xmlns="http://schemas.openxmlformats.org/spreadsheetml/2006/main">
  <c r="G13" i="6" l="1"/>
  <c r="I35" i="2" l="1"/>
  <c r="U43" i="2"/>
  <c r="U42" i="2"/>
  <c r="U41" i="2"/>
  <c r="I44" i="2"/>
  <c r="V46" i="2"/>
  <c r="T67" i="2"/>
  <c r="T41" i="2"/>
  <c r="K43" i="2"/>
  <c r="K42" i="2"/>
  <c r="K41" i="2"/>
  <c r="H40" i="2"/>
  <c r="V41" i="2" l="1"/>
  <c r="C34" i="7" l="1"/>
  <c r="E28" i="7" l="1"/>
  <c r="C79" i="7"/>
  <c r="E23" i="7" l="1"/>
  <c r="E21" i="7" s="1"/>
  <c r="E25" i="7"/>
  <c r="C56" i="7"/>
  <c r="C39" i="7"/>
  <c r="C38" i="7"/>
  <c r="C36" i="7"/>
  <c r="C35" i="7"/>
  <c r="C25" i="7"/>
  <c r="C21" i="7"/>
  <c r="C10" i="7"/>
  <c r="C6" i="7"/>
  <c r="C37" i="7" l="1"/>
  <c r="C28" i="7"/>
  <c r="C33" i="7"/>
  <c r="C13" i="7"/>
  <c r="C40" i="7" l="1"/>
  <c r="I8" i="6" l="1"/>
  <c r="I9" i="6" s="1"/>
  <c r="I12" i="6" s="1"/>
  <c r="I13" i="6" s="1"/>
  <c r="I14" i="6" s="1"/>
  <c r="V40" i="2" l="1"/>
  <c r="X123" i="2" l="1"/>
  <c r="X122" i="2"/>
  <c r="X121" i="2"/>
  <c r="W118" i="2"/>
  <c r="R114" i="2"/>
  <c r="V106" i="2"/>
  <c r="W105" i="2"/>
  <c r="R101" i="2"/>
  <c r="X97" i="2"/>
  <c r="X96" i="2"/>
  <c r="X95" i="2"/>
  <c r="W92" i="2"/>
  <c r="R88" i="2"/>
  <c r="W79" i="2"/>
  <c r="R75" i="2"/>
  <c r="W66" i="2"/>
  <c r="R62" i="2"/>
  <c r="W53" i="2"/>
  <c r="R49" i="2"/>
  <c r="W40" i="2"/>
  <c r="R36" i="2"/>
  <c r="N33" i="2"/>
  <c r="P33" i="2" s="1"/>
  <c r="R33" i="2" s="1"/>
  <c r="L33" i="2"/>
  <c r="H33" i="2"/>
  <c r="X120" i="2" s="1"/>
  <c r="F33" i="2"/>
  <c r="X119" i="2" s="1"/>
  <c r="V119" i="2" s="1"/>
  <c r="C33" i="2"/>
  <c r="J33" i="2" s="1"/>
  <c r="N32" i="2"/>
  <c r="P32" i="2" s="1"/>
  <c r="R32" i="2" s="1"/>
  <c r="L32" i="2"/>
  <c r="H32" i="2"/>
  <c r="F32" i="2"/>
  <c r="C32" i="2"/>
  <c r="J32" i="2" s="1"/>
  <c r="N31" i="2"/>
  <c r="P31" i="2" s="1"/>
  <c r="R31" i="2" s="1"/>
  <c r="L31" i="2"/>
  <c r="H31" i="2"/>
  <c r="X94" i="2" s="1"/>
  <c r="F31" i="2"/>
  <c r="X93" i="2" s="1"/>
  <c r="V93" i="2" s="1"/>
  <c r="C31" i="2"/>
  <c r="J31" i="2" s="1"/>
  <c r="N30" i="2"/>
  <c r="P30" i="2" s="1"/>
  <c r="R30" i="2" s="1"/>
  <c r="L30" i="2"/>
  <c r="H30" i="2"/>
  <c r="F30" i="2"/>
  <c r="V80" i="2" s="1"/>
  <c r="C30" i="2"/>
  <c r="J30" i="2" s="1"/>
  <c r="N29" i="2"/>
  <c r="P29" i="2" s="1"/>
  <c r="R29" i="2" s="1"/>
  <c r="L29" i="2"/>
  <c r="H29" i="2"/>
  <c r="F29" i="2"/>
  <c r="V67" i="2" s="1"/>
  <c r="C29" i="2"/>
  <c r="J29" i="2" s="1"/>
  <c r="N28" i="2"/>
  <c r="P28" i="2" s="1"/>
  <c r="R28" i="2" s="1"/>
  <c r="L28" i="2"/>
  <c r="H28" i="2"/>
  <c r="F28" i="2"/>
  <c r="V54" i="2" s="1"/>
  <c r="C28" i="2"/>
  <c r="J28" i="2" s="1"/>
  <c r="P27" i="2"/>
  <c r="R27" i="2" s="1"/>
  <c r="N27" i="2"/>
  <c r="L27" i="2"/>
  <c r="H27" i="2"/>
  <c r="AM15" i="2" s="1"/>
  <c r="F27" i="2"/>
  <c r="C27" i="2"/>
  <c r="AM26" i="2"/>
  <c r="AM25" i="2"/>
  <c r="AM24" i="2"/>
  <c r="AL13" i="2"/>
  <c r="AG9" i="2"/>
  <c r="AG19" i="2" s="1"/>
  <c r="B43" i="2" l="1"/>
  <c r="J27" i="2"/>
  <c r="V120" i="2"/>
  <c r="V121" i="2" s="1"/>
  <c r="V122" i="2" s="1"/>
  <c r="V123" i="2" s="1"/>
  <c r="AB41" i="2"/>
  <c r="AM14" i="2"/>
  <c r="AK14" i="2" s="1"/>
  <c r="V68" i="2"/>
  <c r="V69" i="2" s="1"/>
  <c r="V81" i="2"/>
  <c r="V82" i="2" s="1"/>
  <c r="V85" i="2" s="1"/>
  <c r="V94" i="2"/>
  <c r="V95" i="2" s="1"/>
  <c r="V96" i="2" s="1"/>
  <c r="V97" i="2" s="1"/>
  <c r="V55" i="2"/>
  <c r="V56" i="2" s="1"/>
  <c r="V107" i="2"/>
  <c r="V108" i="2" s="1"/>
  <c r="B41" i="2"/>
  <c r="C41" i="2"/>
  <c r="B42" i="2"/>
  <c r="I41" i="2"/>
  <c r="T80" i="2" l="1"/>
  <c r="U80" i="2" s="1"/>
  <c r="V72" i="2"/>
  <c r="B44" i="2"/>
  <c r="V111" i="2"/>
  <c r="AK15" i="2"/>
  <c r="AK16" i="2" s="1"/>
  <c r="I42" i="2"/>
  <c r="I43" i="2" s="1"/>
  <c r="G41" i="2" s="1"/>
  <c r="H41" i="2" s="1"/>
  <c r="H42" i="2" s="1"/>
  <c r="H43" i="2" s="1"/>
  <c r="V42" i="2"/>
  <c r="V43" i="2" s="1"/>
  <c r="AB42" i="2"/>
  <c r="AB43" i="2" s="1"/>
  <c r="AB44" i="2" s="1"/>
  <c r="AB45" i="2" s="1"/>
  <c r="J40" i="2"/>
  <c r="V98" i="2"/>
  <c r="T93" i="2" s="1"/>
  <c r="U93" i="2" s="1"/>
  <c r="C42" i="2"/>
  <c r="C43" i="2" s="1"/>
  <c r="V124" i="2"/>
  <c r="T119" i="2" s="1"/>
  <c r="U119" i="2" s="1"/>
  <c r="T106" i="2" l="1"/>
  <c r="U106" i="2" s="1"/>
  <c r="U108" i="2" s="1"/>
  <c r="U82" i="2"/>
  <c r="W82" i="2" s="1"/>
  <c r="W80" i="2"/>
  <c r="U81" i="2"/>
  <c r="W81" i="2" s="1"/>
  <c r="U120" i="2"/>
  <c r="W120" i="2" s="1"/>
  <c r="W119" i="2"/>
  <c r="U123" i="2"/>
  <c r="W123" i="2" s="1"/>
  <c r="U121" i="2"/>
  <c r="U94" i="2"/>
  <c r="W94" i="2" s="1"/>
  <c r="W93" i="2"/>
  <c r="U97" i="2"/>
  <c r="W97" i="2" s="1"/>
  <c r="U95" i="2"/>
  <c r="C44" i="2"/>
  <c r="AJ23" i="2"/>
  <c r="AK23" i="2"/>
  <c r="AK24" i="2" s="1"/>
  <c r="AB46" i="2"/>
  <c r="AI14" i="2"/>
  <c r="J42" i="2" l="1"/>
  <c r="J43" i="2"/>
  <c r="J41" i="2"/>
  <c r="U67" i="2"/>
  <c r="U68" i="2" s="1"/>
  <c r="W68" i="2" s="1"/>
  <c r="U107" i="2"/>
  <c r="W107" i="2" s="1"/>
  <c r="W106" i="2"/>
  <c r="U85" i="2"/>
  <c r="X85" i="2" s="1"/>
  <c r="W85" i="2"/>
  <c r="AC39" i="2"/>
  <c r="AD39" i="2" s="1"/>
  <c r="AD46" i="2" s="1"/>
  <c r="W41" i="2"/>
  <c r="AJ14" i="2"/>
  <c r="U122" i="2"/>
  <c r="W122" i="2" s="1"/>
  <c r="W124" i="2" s="1"/>
  <c r="W121" i="2"/>
  <c r="W108" i="2"/>
  <c r="U98" i="2"/>
  <c r="X98" i="2" s="1"/>
  <c r="AK25" i="2"/>
  <c r="AK26" i="2" s="1"/>
  <c r="AL23" i="2"/>
  <c r="U96" i="2"/>
  <c r="W96" i="2" s="1"/>
  <c r="W95" i="2"/>
  <c r="W98" i="2" s="1"/>
  <c r="H44" i="2" l="1"/>
  <c r="K44" i="2" s="1"/>
  <c r="J44" i="2"/>
  <c r="U124" i="2"/>
  <c r="X124" i="2" s="1"/>
  <c r="W67" i="2"/>
  <c r="U69" i="2"/>
  <c r="W69" i="2" s="1"/>
  <c r="W72" i="2" s="1"/>
  <c r="W43" i="2"/>
  <c r="W42" i="2"/>
  <c r="W111" i="2"/>
  <c r="U111" i="2"/>
  <c r="X111" i="2" s="1"/>
  <c r="AK27" i="2"/>
  <c r="AL14" i="2"/>
  <c r="AJ15" i="2"/>
  <c r="AL15" i="2" s="1"/>
  <c r="W46" i="2" l="1"/>
  <c r="U46" i="2"/>
  <c r="X46" i="2" s="1"/>
  <c r="U72" i="2"/>
  <c r="X72" i="2" s="1"/>
  <c r="AJ16" i="2"/>
  <c r="AM16" i="2" s="1"/>
  <c r="AL16" i="2"/>
  <c r="AI24" i="2"/>
  <c r="AK30" i="2"/>
  <c r="AI30" i="2" l="1"/>
  <c r="AJ24" i="2"/>
  <c r="AJ25" i="2" l="1"/>
  <c r="AL24" i="2"/>
  <c r="AJ26" i="2" l="1"/>
  <c r="AL25" i="2"/>
  <c r="AL26" i="2" l="1"/>
  <c r="AL27" i="2" s="1"/>
  <c r="AJ27" i="2"/>
  <c r="AM27" i="2" l="1"/>
  <c r="AJ30" i="2"/>
  <c r="G8" i="6" l="1"/>
  <c r="G9" i="6" s="1"/>
  <c r="G12" i="6" s="1"/>
  <c r="G14" i="6" l="1"/>
  <c r="W56" i="2"/>
  <c r="U56" i="2"/>
  <c r="U55" i="2"/>
  <c r="W55" i="2"/>
  <c r="W54" i="2"/>
  <c r="W57" i="2"/>
  <c r="V57" i="2"/>
  <c r="T54" i="2"/>
  <c r="U54" i="2"/>
  <c r="U57" i="2"/>
  <c r="X57" i="2"/>
</calcChain>
</file>

<file path=xl/comments1.xml><?xml version="1.0" encoding="utf-8"?>
<comments xmlns="http://schemas.openxmlformats.org/spreadsheetml/2006/main">
  <authors>
    <author>Ajuntament de Barcelona</author>
  </authors>
  <commentList>
    <comment ref="H13" authorId="0">
      <text>
        <r>
          <rPr>
            <b/>
            <sz val="9"/>
            <color indexed="81"/>
            <rFont val="Tahoma"/>
            <charset val="1"/>
          </rPr>
          <t>Ajuntament de Barcelona:</t>
        </r>
        <r>
          <rPr>
            <sz val="9"/>
            <color indexed="81"/>
            <rFont val="Tahoma"/>
            <charset val="1"/>
          </rPr>
          <t xml:space="preserve">
Escolliu el tipus d'IVA aplicable</t>
        </r>
      </text>
    </comment>
  </commentList>
</comments>
</file>

<file path=xl/sharedStrings.xml><?xml version="1.0" encoding="utf-8"?>
<sst xmlns="http://schemas.openxmlformats.org/spreadsheetml/2006/main" count="330" uniqueCount="127">
  <si>
    <t>CONVENI</t>
  </si>
  <si>
    <t>salari anual</t>
  </si>
  <si>
    <t>GRUP I</t>
  </si>
  <si>
    <t>GRUP</t>
  </si>
  <si>
    <t>Perfil professional</t>
  </si>
  <si>
    <t>CICLE GENERAL</t>
  </si>
  <si>
    <t xml:space="preserve">SUPOSITS </t>
  </si>
  <si>
    <t>INICI PRESTACIÓ 2023-2026</t>
  </si>
  <si>
    <t>4 ANUALITATS</t>
  </si>
  <si>
    <t>A</t>
  </si>
  <si>
    <t>DIRECCIÓ</t>
  </si>
  <si>
    <t>B</t>
  </si>
  <si>
    <t xml:space="preserve">SOTSDIRECCIÓ.COMANDAMENTS INTERMEDIS </t>
  </si>
  <si>
    <t>ANUALITAT</t>
  </si>
  <si>
    <t>Columna2</t>
  </si>
  <si>
    <t>increment</t>
  </si>
  <si>
    <t>PAGAMENT</t>
  </si>
  <si>
    <t>COST</t>
  </si>
  <si>
    <t>diferencia</t>
  </si>
  <si>
    <t>SUPOSIT increment %</t>
  </si>
  <si>
    <t>font</t>
  </si>
  <si>
    <t>referència</t>
  </si>
  <si>
    <t>C</t>
  </si>
  <si>
    <t>LLICENCIATS</t>
  </si>
  <si>
    <t>DIPLOMATS</t>
  </si>
  <si>
    <t>Proposta CCOO</t>
  </si>
  <si>
    <t>PERSONAL QUALIFICAT</t>
  </si>
  <si>
    <t>D</t>
  </si>
  <si>
    <t>ADMINISTRACIÓ I SERVEIS</t>
  </si>
  <si>
    <t>total</t>
  </si>
  <si>
    <t>SMI 2023</t>
  </si>
  <si>
    <t>CONVENI 2018-2021</t>
  </si>
  <si>
    <t>CONVENI 2023-2026</t>
  </si>
  <si>
    <t>DE LES TAULES DEL NOU CONVENI</t>
  </si>
  <si>
    <t>CALCULAT EN FUNCIO DE LES DADES DE LA TAULA</t>
  </si>
  <si>
    <t xml:space="preserve">COMPROVACIÓ </t>
  </si>
  <si>
    <t xml:space="preserve">No inferior al 5% </t>
  </si>
  <si>
    <t>3% ESTIMACIÓ DPQI</t>
  </si>
  <si>
    <t>inc.%</t>
  </si>
  <si>
    <t>TAULA CCOO</t>
  </si>
  <si>
    <t>comprovació</t>
  </si>
  <si>
    <t>ESTIMACIÓ</t>
  </si>
  <si>
    <t>I</t>
  </si>
  <si>
    <t>SOTSDIRECCIÓ</t>
  </si>
  <si>
    <t>II</t>
  </si>
  <si>
    <t>LLICENCIATS (a extingir)</t>
  </si>
  <si>
    <t>TECNIC SUPERIOR GRADUAT (actual diplomat)</t>
  </si>
  <si>
    <t>TOTAL 2 PERIODES</t>
  </si>
  <si>
    <t>EL MATEIX RESULTAT FINAL</t>
  </si>
  <si>
    <t>III</t>
  </si>
  <si>
    <t>PERSONAL TÈCNIC SUPERIOR (Integradors socials, cicle formatiu de grau superior)</t>
  </si>
  <si>
    <t>PERSONAL TÈCNIC (cicle formatiu grau mig)</t>
  </si>
  <si>
    <t>IV</t>
  </si>
  <si>
    <t>PERSONAL DE SERVEIS (telefonista, personal de neteja,ordenances, conserge, etc)</t>
  </si>
  <si>
    <t>Quadre de comprovació</t>
  </si>
  <si>
    <t>COMPROVACIÓ</t>
  </si>
  <si>
    <t>incorpora inc.</t>
  </si>
  <si>
    <t>2022+2023</t>
  </si>
  <si>
    <t>Incorpora inc.</t>
  </si>
  <si>
    <t>GRUP II</t>
  </si>
  <si>
    <t>GRUP III</t>
  </si>
  <si>
    <t>(***)</t>
  </si>
  <si>
    <t>GRUP IV</t>
  </si>
  <si>
    <t>Codi</t>
  </si>
  <si>
    <t>Descripció</t>
  </si>
  <si>
    <t>Quantitat estimada</t>
  </si>
  <si>
    <t>Preu u/t Sortida</t>
  </si>
  <si>
    <t>Import sortida</t>
  </si>
  <si>
    <t>Preu u/t  Proveïdor</t>
  </si>
  <si>
    <t>Import  Proveïdor</t>
  </si>
  <si>
    <t>Despeses per preu GLOBAL</t>
  </si>
  <si>
    <t>PREU GLOBAL</t>
  </si>
  <si>
    <t>Subtotal preu global</t>
  </si>
  <si>
    <t>Subtotal preu global proveidor</t>
  </si>
  <si>
    <t>IMPORT:</t>
  </si>
  <si>
    <t xml:space="preserve">IMPORT:                    </t>
  </si>
  <si>
    <t>IVA (%):</t>
  </si>
  <si>
    <t>TOTAL:</t>
  </si>
  <si>
    <t xml:space="preserve">TOTAL PROVEIDOR: </t>
  </si>
  <si>
    <t>COST GESTIÓ DELS PAIDOS CIUTAT VELLA I PORTA - 2022 (CÀRITAS DIOCESANA DE BARCELONA)</t>
  </si>
  <si>
    <t>Inclou informació tancament 2022</t>
  </si>
  <si>
    <t>1016-PAIDOS CIUTAT VELLA</t>
  </si>
  <si>
    <t>DESPESES</t>
  </si>
  <si>
    <t>Suara (personal i altres) (1)</t>
  </si>
  <si>
    <t>Altres despeses directes de funcionament (2)</t>
  </si>
  <si>
    <t>Despeses imputables - suport Càritas (3)</t>
  </si>
  <si>
    <t>INGRESSOS</t>
  </si>
  <si>
    <t>Subvenció IMSS</t>
  </si>
  <si>
    <t>Fons propis Càritas</t>
  </si>
  <si>
    <t>RESULTAT</t>
  </si>
  <si>
    <r>
      <rPr>
        <b/>
        <u/>
        <sz val="11"/>
        <color theme="1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>El valor de la cessió dels espais que ens cedeix F.Espelt s'estima en 15.000€</t>
    </r>
  </si>
  <si>
    <t>1581-PAIDOS PORTA</t>
  </si>
  <si>
    <t>Altres despeses directes de funcionament (2b)</t>
  </si>
  <si>
    <t>TOTAL PAIDOS</t>
  </si>
  <si>
    <t>Nota: El valor de la cessió dels espais que ens cedeix F.Espelt s'estima en 15.000€</t>
  </si>
  <si>
    <t>(1) volums facturats per SUARA pel personal i equipament TIC del mateix</t>
  </si>
  <si>
    <t>(2a) despeses del projecte Ciutat Vella</t>
  </si>
  <si>
    <t>6235016-PERSONAL NETEJA</t>
  </si>
  <si>
    <t>6235018-S.EXTERN DIVERSOS</t>
  </si>
  <si>
    <t>6281026-QUEVIURES</t>
  </si>
  <si>
    <t>6500027-TRANSPORT DELS USUARIS</t>
  </si>
  <si>
    <t>6590021-ACTIVITATS</t>
  </si>
  <si>
    <t>6590036-RENOVACIO EQUIPAMENT OIM</t>
  </si>
  <si>
    <t>total despeses funcionament</t>
  </si>
  <si>
    <t>(2b) despeses del projecte Porta</t>
  </si>
  <si>
    <t>6220102-REPARACIONS LOCALS</t>
  </si>
  <si>
    <t>6220105-NETEJA</t>
  </si>
  <si>
    <t>6220203-CONSERV. DIV.-AIRE ACONDICIONAT</t>
  </si>
  <si>
    <t>6220204-CONSERV. DIV.-ALARMES</t>
  </si>
  <si>
    <t>6220205-CONSERV. DIV.-CONTROL DE PLAGUES</t>
  </si>
  <si>
    <t>6220207-CONSERV. DIV.-EXTINTORS</t>
  </si>
  <si>
    <t>6280001-AIGUA</t>
  </si>
  <si>
    <t>6280003-ELECTRICITAT</t>
  </si>
  <si>
    <t>6281025-FARMACIA-MEDICAMENTS</t>
  </si>
  <si>
    <t>6292010-CONSUMIBLES - IMPRESSORES</t>
  </si>
  <si>
    <t>6293000-TELEFONIA FIXA</t>
  </si>
  <si>
    <t>6310101-ARBITRIS MUNICIPALS</t>
  </si>
  <si>
    <t>6510060-DESPESES EXTRAORDINARIES</t>
  </si>
  <si>
    <t>6590034-MATERIAL FUNGIBLE I UTILLATGE</t>
  </si>
  <si>
    <t>(3) dedicació del personal de territori, programa (suports especialitzats)</t>
  </si>
  <si>
    <t>Estimació Suara</t>
  </si>
  <si>
    <t>Servei d'intervenció Socioeducativa per a infants, adolescents i famílies en caps de setmana i mes d'agost</t>
  </si>
  <si>
    <t>SMI INTERPROFESSIONAL 2024</t>
  </si>
  <si>
    <r>
      <rPr>
        <b/>
        <i/>
        <u/>
        <sz val="11"/>
        <color theme="1"/>
        <rFont val="Calibri"/>
        <family val="2"/>
        <scheme val="minor"/>
      </rPr>
      <t>Nota:</t>
    </r>
    <r>
      <rPr>
        <b/>
        <i/>
        <sz val="11"/>
        <color theme="1"/>
        <rFont val="Calibri"/>
        <family val="2"/>
        <scheme val="minor"/>
      </rPr>
      <t xml:space="preserve"> aquest document s'ha de presentar en pdf i degudament signat pel/per la representant legal de la licitadora</t>
    </r>
  </si>
  <si>
    <t xml:space="preserve">Barcelona, en la data de signatura </t>
  </si>
  <si>
    <t>EXP P2400005          ANNEX-3 BIS</t>
  </si>
  <si>
    <t>La quantitat indicada per l’IMSS com a preu global net (1.115.886,08€)  constitueix la xifra màxima per sobre de la qual s'estimarà que les ofertes de les licitadores excedeixen el tipus de la licitació i, per tant, seran excloses.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</si>
</sst>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.0000"/>
    <numFmt numFmtId="165" formatCode="#,##0_);\(#,##0\)"/>
    <numFmt numFmtId="166" formatCode="#,##0.000"/>
    <numFmt numFmtId="167" formatCode="0.000%"/>
    <numFmt numFmtId="168" formatCode="#,##0.000\ &quot;€&quot;;[Red]\-#,##0.000\ &quot;€&quot;"/>
    <numFmt numFmtId="169" formatCode="#,##0.00_);\(#,##0.00\)"/>
    <numFmt numFmtId="170" formatCode="_-* #,##0.00\ [$€-403]_-;\-* #,##0.00\ [$€-403]_-;_-* &quot;-&quot;??\ [$€-403]_-;_-@_-"/>
    <numFmt numFmtId="171" formatCode="#,##0_ ;[Red]\-#,##0\ "/>
    <numFmt numFmtId="172" formatCode="#,##0_ ;\-#,##0\ "/>
    <numFmt numFmtId="173" formatCode="#,##0.00_ ;[Red]\-#,##0.00\ "/>
  </numFmts>
  <fonts count="3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DINPro-Regular"/>
    </font>
    <font>
      <b/>
      <sz val="10"/>
      <name val="DINPro-Regular"/>
      <family val="3"/>
    </font>
    <font>
      <sz val="10"/>
      <name val="DINPro-Regular"/>
      <family val="3"/>
    </font>
    <font>
      <b/>
      <sz val="14"/>
      <name val="DINPro-Regular"/>
      <family val="3"/>
    </font>
    <font>
      <b/>
      <sz val="10"/>
      <color rgb="FFFF0000"/>
      <name val="DINPro-Regular"/>
      <family val="3"/>
    </font>
    <font>
      <sz val="14"/>
      <name val="DINPro-Regular"/>
      <family val="3"/>
    </font>
    <font>
      <b/>
      <i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8"/>
      <color rgb="FF00000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indexed="5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39">
    <xf numFmtId="0" fontId="0" fillId="0" borderId="0" xfId="0"/>
    <xf numFmtId="44" fontId="0" fillId="0" borderId="0" xfId="1" applyFont="1"/>
    <xf numFmtId="44" fontId="4" fillId="0" borderId="0" xfId="1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9" fillId="2" borderId="8" xfId="0" applyFont="1" applyFill="1" applyBorder="1"/>
    <xf numFmtId="8" fontId="5" fillId="2" borderId="8" xfId="0" applyNumberFormat="1" applyFont="1" applyFill="1" applyBorder="1"/>
    <xf numFmtId="0" fontId="2" fillId="6" borderId="0" xfId="0" applyFont="1" applyFill="1"/>
    <xf numFmtId="2" fontId="2" fillId="6" borderId="0" xfId="0" applyNumberFormat="1" applyFont="1" applyFill="1"/>
    <xf numFmtId="0" fontId="0" fillId="0" borderId="8" xfId="0" applyBorder="1"/>
    <xf numFmtId="0" fontId="0" fillId="0" borderId="24" xfId="0" applyBorder="1"/>
    <xf numFmtId="8" fontId="6" fillId="5" borderId="8" xfId="0" applyNumberFormat="1" applyFont="1" applyFill="1" applyBorder="1"/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horizontal="center"/>
    </xf>
    <xf numFmtId="165" fontId="9" fillId="0" borderId="25" xfId="5" applyNumberFormat="1" applyFont="1" applyBorder="1" applyAlignment="1"/>
    <xf numFmtId="4" fontId="9" fillId="0" borderId="25" xfId="5" applyNumberFormat="1" applyFont="1" applyBorder="1" applyAlignment="1"/>
    <xf numFmtId="2" fontId="9" fillId="0" borderId="25" xfId="5" applyNumberFormat="1" applyFont="1" applyBorder="1" applyAlignment="1"/>
    <xf numFmtId="165" fontId="9" fillId="0" borderId="25" xfId="5" applyNumberFormat="1" applyFont="1" applyBorder="1" applyAlignment="1">
      <alignment horizontal="center"/>
    </xf>
    <xf numFmtId="165" fontId="9" fillId="8" borderId="0" xfId="5" applyNumberFormat="1" applyFont="1" applyFill="1" applyBorder="1" applyAlignment="1"/>
    <xf numFmtId="4" fontId="4" fillId="8" borderId="0" xfId="5" applyNumberFormat="1" applyFont="1" applyFill="1" applyBorder="1" applyAlignment="1"/>
    <xf numFmtId="165" fontId="4" fillId="8" borderId="0" xfId="5" applyNumberFormat="1" applyFont="1" applyFill="1" applyBorder="1" applyAlignment="1"/>
    <xf numFmtId="2" fontId="4" fillId="8" borderId="0" xfId="5" applyNumberFormat="1" applyFont="1" applyFill="1" applyBorder="1" applyAlignment="1"/>
    <xf numFmtId="165" fontId="9" fillId="8" borderId="0" xfId="5" applyNumberFormat="1" applyFont="1" applyFill="1" applyBorder="1" applyAlignment="1">
      <alignment horizontal="center"/>
    </xf>
    <xf numFmtId="0" fontId="10" fillId="8" borderId="0" xfId="5" applyNumberFormat="1" applyFont="1" applyFill="1" applyBorder="1" applyAlignment="1"/>
    <xf numFmtId="165" fontId="11" fillId="0" borderId="0" xfId="5" applyNumberFormat="1" applyFont="1" applyBorder="1" applyAlignment="1"/>
    <xf numFmtId="4" fontId="12" fillId="0" borderId="0" xfId="5" applyNumberFormat="1" applyFont="1" applyBorder="1" applyAlignment="1"/>
    <xf numFmtId="10" fontId="13" fillId="9" borderId="0" xfId="4" applyNumberFormat="1" applyFont="1" applyFill="1"/>
    <xf numFmtId="44" fontId="12" fillId="0" borderId="0" xfId="1" applyFont="1" applyBorder="1" applyAlignment="1"/>
    <xf numFmtId="2" fontId="4" fillId="0" borderId="0" xfId="5" applyNumberFormat="1" applyFont="1" applyBorder="1" applyAlignment="1"/>
    <xf numFmtId="10" fontId="14" fillId="0" borderId="0" xfId="4" applyNumberFormat="1" applyFont="1" applyAlignment="1">
      <alignment horizontal="center"/>
    </xf>
    <xf numFmtId="0" fontId="10" fillId="0" borderId="0" xfId="5" applyNumberFormat="1" applyFont="1" applyBorder="1" applyAlignment="1"/>
    <xf numFmtId="165" fontId="11" fillId="8" borderId="0" xfId="5" applyNumberFormat="1" applyFont="1" applyFill="1" applyBorder="1" applyAlignment="1"/>
    <xf numFmtId="4" fontId="12" fillId="8" borderId="0" xfId="5" applyNumberFormat="1" applyFont="1" applyFill="1" applyBorder="1" applyAlignment="1"/>
    <xf numFmtId="10" fontId="12" fillId="8" borderId="0" xfId="5" applyNumberFormat="1" applyFont="1" applyFill="1" applyBorder="1" applyAlignment="1"/>
    <xf numFmtId="44" fontId="12" fillId="8" borderId="0" xfId="1" applyFont="1" applyFill="1" applyBorder="1" applyAlignment="1"/>
    <xf numFmtId="10" fontId="14" fillId="8" borderId="0" xfId="4" applyNumberFormat="1" applyFont="1" applyFill="1" applyAlignment="1">
      <alignment horizontal="center"/>
    </xf>
    <xf numFmtId="165" fontId="13" fillId="0" borderId="0" xfId="5" applyNumberFormat="1" applyFont="1"/>
    <xf numFmtId="4" fontId="15" fillId="0" borderId="0" xfId="5" applyNumberFormat="1" applyFont="1"/>
    <xf numFmtId="165" fontId="15" fillId="0" borderId="0" xfId="5" applyNumberFormat="1" applyFont="1"/>
    <xf numFmtId="44" fontId="15" fillId="0" borderId="0" xfId="1" applyFont="1"/>
    <xf numFmtId="166" fontId="15" fillId="0" borderId="0" xfId="5" applyNumberFormat="1" applyFont="1"/>
    <xf numFmtId="10" fontId="13" fillId="0" borderId="0" xfId="5" applyNumberFormat="1" applyFont="1" applyAlignment="1">
      <alignment horizontal="center"/>
    </xf>
    <xf numFmtId="0" fontId="0" fillId="4" borderId="0" xfId="0" applyFill="1" applyAlignment="1">
      <alignment horizontal="right"/>
    </xf>
    <xf numFmtId="8" fontId="6" fillId="10" borderId="8" xfId="0" applyNumberFormat="1" applyFont="1" applyFill="1" applyBorder="1"/>
    <xf numFmtId="164" fontId="0" fillId="0" borderId="0" xfId="0" applyNumberFormat="1"/>
    <xf numFmtId="0" fontId="5" fillId="0" borderId="4" xfId="0" applyFont="1" applyBorder="1" applyAlignment="1">
      <alignment horizontal="center"/>
    </xf>
    <xf numFmtId="165" fontId="9" fillId="0" borderId="0" xfId="5" applyNumberFormat="1" applyFont="1"/>
    <xf numFmtId="4" fontId="4" fillId="0" borderId="0" xfId="5" applyNumberFormat="1" applyFont="1"/>
    <xf numFmtId="165" fontId="4" fillId="0" borderId="0" xfId="5" applyNumberFormat="1" applyFont="1"/>
    <xf numFmtId="2" fontId="4" fillId="0" borderId="0" xfId="5" applyNumberFormat="1" applyFont="1"/>
    <xf numFmtId="165" fontId="9" fillId="0" borderId="0" xfId="5" applyNumberFormat="1" applyFont="1" applyAlignment="1">
      <alignment horizontal="center"/>
    </xf>
    <xf numFmtId="165" fontId="4" fillId="0" borderId="0" xfId="5" applyNumberFormat="1" applyFont="1" applyFill="1"/>
    <xf numFmtId="0" fontId="0" fillId="0" borderId="8" xfId="0" applyBorder="1" applyAlignment="1">
      <alignment vertical="center" wrapText="1"/>
    </xf>
    <xf numFmtId="0" fontId="0" fillId="0" borderId="7" xfId="0" applyFill="1" applyBorder="1" applyAlignment="1">
      <alignment horizontal="center" vertical="center" wrapText="1"/>
    </xf>
    <xf numFmtId="10" fontId="16" fillId="6" borderId="8" xfId="4" applyNumberFormat="1" applyFont="1" applyFill="1" applyBorder="1" applyAlignment="1">
      <alignment horizontal="center" vertical="center" wrapText="1"/>
    </xf>
    <xf numFmtId="10" fontId="16" fillId="9" borderId="8" xfId="4" applyNumberFormat="1" applyFont="1" applyFill="1" applyBorder="1" applyAlignment="1">
      <alignment horizontal="center" vertical="center" wrapText="1"/>
    </xf>
    <xf numFmtId="0" fontId="0" fillId="0" borderId="26" xfId="0" applyBorder="1"/>
    <xf numFmtId="0" fontId="17" fillId="11" borderId="8" xfId="0" applyFont="1" applyFill="1" applyBorder="1"/>
    <xf numFmtId="0" fontId="8" fillId="11" borderId="6" xfId="0" applyFont="1" applyFill="1" applyBorder="1" applyAlignment="1">
      <alignment horizontal="center"/>
    </xf>
    <xf numFmtId="0" fontId="17" fillId="11" borderId="23" xfId="0" applyFont="1" applyFill="1" applyBorder="1"/>
    <xf numFmtId="0" fontId="18" fillId="0" borderId="22" xfId="0" applyFont="1" applyBorder="1" applyAlignment="1">
      <alignment horizontal="center"/>
    </xf>
    <xf numFmtId="0" fontId="17" fillId="11" borderId="24" xfId="0" applyFont="1" applyFill="1" applyBorder="1"/>
    <xf numFmtId="0" fontId="17" fillId="11" borderId="11" xfId="0" applyFont="1" applyFill="1" applyBorder="1"/>
    <xf numFmtId="165" fontId="11" fillId="12" borderId="0" xfId="5" applyNumberFormat="1" applyFont="1" applyFill="1" applyBorder="1" applyAlignment="1"/>
    <xf numFmtId="4" fontId="12" fillId="12" borderId="0" xfId="5" applyNumberFormat="1" applyFont="1" applyFill="1" applyBorder="1" applyAlignment="1"/>
    <xf numFmtId="10" fontId="12" fillId="12" borderId="0" xfId="5" applyNumberFormat="1" applyFont="1" applyFill="1" applyBorder="1" applyAlignment="1"/>
    <xf numFmtId="44" fontId="12" fillId="12" borderId="0" xfId="1" applyFont="1" applyFill="1" applyBorder="1" applyAlignment="1"/>
    <xf numFmtId="2" fontId="4" fillId="12" borderId="0" xfId="5" applyNumberFormat="1" applyFont="1" applyFill="1" applyBorder="1" applyAlignment="1"/>
    <xf numFmtId="10" fontId="14" fillId="12" borderId="0" xfId="4" applyNumberFormat="1" applyFont="1" applyFill="1" applyAlignment="1">
      <alignment horizontal="center"/>
    </xf>
    <xf numFmtId="0" fontId="10" fillId="12" borderId="0" xfId="5" applyNumberFormat="1" applyFont="1" applyFill="1" applyBorder="1" applyAlignment="1"/>
    <xf numFmtId="0" fontId="2" fillId="0" borderId="8" xfId="0" applyFont="1" applyBorder="1"/>
    <xf numFmtId="10" fontId="16" fillId="0" borderId="23" xfId="4" applyNumberFormat="1" applyFont="1" applyBorder="1"/>
    <xf numFmtId="8" fontId="19" fillId="5" borderId="27" xfId="0" applyNumberFormat="1" applyFont="1" applyFill="1" applyBorder="1"/>
    <xf numFmtId="10" fontId="16" fillId="0" borderId="21" xfId="4" applyNumberFormat="1" applyFont="1" applyBorder="1"/>
    <xf numFmtId="10" fontId="17" fillId="3" borderId="24" xfId="0" applyNumberFormat="1" applyFont="1" applyFill="1" applyBorder="1"/>
    <xf numFmtId="44" fontId="17" fillId="11" borderId="23" xfId="1" applyFont="1" applyFill="1" applyBorder="1"/>
    <xf numFmtId="10" fontId="18" fillId="0" borderId="28" xfId="4" applyNumberFormat="1" applyFont="1" applyBorder="1" applyAlignment="1">
      <alignment horizontal="center"/>
    </xf>
    <xf numFmtId="10" fontId="16" fillId="0" borderId="8" xfId="4" applyNumberFormat="1" applyFont="1" applyBorder="1"/>
    <xf numFmtId="10" fontId="16" fillId="0" borderId="11" xfId="4" applyNumberFormat="1" applyFont="1" applyBorder="1"/>
    <xf numFmtId="8" fontId="19" fillId="9" borderId="29" xfId="0" applyNumberFormat="1" applyFont="1" applyFill="1" applyBorder="1"/>
    <xf numFmtId="0" fontId="2" fillId="0" borderId="0" xfId="0" applyFont="1" applyBorder="1"/>
    <xf numFmtId="0" fontId="10" fillId="0" borderId="0" xfId="5" applyFont="1" applyFill="1"/>
    <xf numFmtId="8" fontId="19" fillId="5" borderId="28" xfId="0" applyNumberFormat="1" applyFont="1" applyFill="1" applyBorder="1"/>
    <xf numFmtId="0" fontId="2" fillId="0" borderId="24" xfId="0" applyFont="1" applyBorder="1"/>
    <xf numFmtId="0" fontId="2" fillId="0" borderId="8" xfId="0" applyFont="1" applyFill="1" applyBorder="1"/>
    <xf numFmtId="0" fontId="2" fillId="0" borderId="0" xfId="0" applyFont="1" applyFill="1" applyBorder="1"/>
    <xf numFmtId="167" fontId="13" fillId="9" borderId="0" xfId="4" applyNumberFormat="1" applyFont="1" applyFill="1"/>
    <xf numFmtId="0" fontId="0" fillId="9" borderId="0" xfId="0" applyFill="1"/>
    <xf numFmtId="0" fontId="0" fillId="0" borderId="8" xfId="0" applyBorder="1" applyAlignment="1">
      <alignment horizontal="center"/>
    </xf>
    <xf numFmtId="8" fontId="19" fillId="5" borderId="30" xfId="0" applyNumberFormat="1" applyFont="1" applyFill="1" applyBorder="1"/>
    <xf numFmtId="10" fontId="18" fillId="0" borderId="30" xfId="4" applyNumberFormat="1" applyFont="1" applyBorder="1" applyAlignment="1">
      <alignment horizontal="center"/>
    </xf>
    <xf numFmtId="10" fontId="16" fillId="0" borderId="5" xfId="4" applyNumberFormat="1" applyFont="1" applyBorder="1"/>
    <xf numFmtId="8" fontId="19" fillId="9" borderId="31" xfId="0" applyNumberFormat="1" applyFont="1" applyFill="1" applyBorder="1"/>
    <xf numFmtId="0" fontId="19" fillId="0" borderId="0" xfId="0" applyFont="1"/>
    <xf numFmtId="168" fontId="0" fillId="0" borderId="0" xfId="0" applyNumberFormat="1"/>
    <xf numFmtId="44" fontId="6" fillId="5" borderId="8" xfId="1" applyFont="1" applyFill="1" applyBorder="1"/>
    <xf numFmtId="44" fontId="0" fillId="5" borderId="0" xfId="1" applyFont="1" applyFill="1"/>
    <xf numFmtId="44" fontId="17" fillId="0" borderId="0" xfId="1" applyFont="1"/>
    <xf numFmtId="165" fontId="11" fillId="0" borderId="0" xfId="5" applyNumberFormat="1" applyFont="1"/>
    <xf numFmtId="4" fontId="12" fillId="0" borderId="0" xfId="5" applyNumberFormat="1" applyFont="1"/>
    <xf numFmtId="169" fontId="12" fillId="0" borderId="0" xfId="5" applyNumberFormat="1" applyFont="1"/>
    <xf numFmtId="166" fontId="12" fillId="0" borderId="0" xfId="5" applyNumberFormat="1" applyFont="1"/>
    <xf numFmtId="44" fontId="12" fillId="0" borderId="0" xfId="1" applyFont="1"/>
    <xf numFmtId="10" fontId="12" fillId="0" borderId="0" xfId="5" applyNumberFormat="1" applyFont="1"/>
    <xf numFmtId="165" fontId="10" fillId="0" borderId="0" xfId="5" applyNumberFormat="1" applyFont="1" applyFill="1"/>
    <xf numFmtId="8" fontId="0" fillId="0" borderId="0" xfId="0" applyNumberFormat="1"/>
    <xf numFmtId="44" fontId="0" fillId="0" borderId="0" xfId="1" applyNumberFormat="1" applyFont="1"/>
    <xf numFmtId="165" fontId="12" fillId="0" borderId="0" xfId="5" applyNumberFormat="1" applyFont="1"/>
    <xf numFmtId="2" fontId="12" fillId="0" borderId="0" xfId="5" applyNumberFormat="1" applyFont="1"/>
    <xf numFmtId="165" fontId="11" fillId="0" borderId="0" xfId="5" applyNumberFormat="1" applyFont="1" applyAlignment="1">
      <alignment horizontal="center"/>
    </xf>
    <xf numFmtId="10" fontId="14" fillId="3" borderId="0" xfId="4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8" fillId="11" borderId="34" xfId="0" applyFont="1" applyFill="1" applyBorder="1" applyAlignment="1">
      <alignment horizontal="center"/>
    </xf>
    <xf numFmtId="8" fontId="19" fillId="5" borderId="35" xfId="0" applyNumberFormat="1" applyFont="1" applyFill="1" applyBorder="1"/>
    <xf numFmtId="8" fontId="19" fillId="5" borderId="36" xfId="0" applyNumberFormat="1" applyFont="1" applyFill="1" applyBorder="1"/>
    <xf numFmtId="8" fontId="19" fillId="5" borderId="37" xfId="0" applyNumberFormat="1" applyFont="1" applyFill="1" applyBorder="1"/>
    <xf numFmtId="8" fontId="4" fillId="0" borderId="0" xfId="1" applyNumberFormat="1" applyFont="1"/>
    <xf numFmtId="0" fontId="22" fillId="0" borderId="0" xfId="0" applyFont="1" applyBorder="1" applyProtection="1">
      <protection hidden="1"/>
    </xf>
    <xf numFmtId="2" fontId="22" fillId="0" borderId="0" xfId="0" applyNumberFormat="1" applyFont="1" applyBorder="1" applyProtection="1">
      <protection hidden="1"/>
    </xf>
    <xf numFmtId="0" fontId="23" fillId="0" borderId="18" xfId="0" quotePrefix="1" applyFont="1" applyFill="1" applyBorder="1" applyAlignment="1" applyProtection="1">
      <alignment horizontal="left" vertical="center" wrapText="1"/>
      <protection hidden="1"/>
    </xf>
    <xf numFmtId="0" fontId="24" fillId="3" borderId="16" xfId="0" quotePrefix="1" applyFont="1" applyFill="1" applyBorder="1" applyAlignment="1" applyProtection="1">
      <alignment vertical="center" wrapText="1"/>
      <protection hidden="1"/>
    </xf>
    <xf numFmtId="170" fontId="23" fillId="0" borderId="16" xfId="0" applyNumberFormat="1" applyFont="1" applyBorder="1" applyAlignment="1" applyProtection="1">
      <alignment vertical="center"/>
      <protection hidden="1"/>
    </xf>
    <xf numFmtId="170" fontId="22" fillId="14" borderId="16" xfId="0" applyNumberFormat="1" applyFont="1" applyFill="1" applyBorder="1" applyAlignment="1" applyProtection="1">
      <alignment vertical="center"/>
      <protection locked="0" hidden="1"/>
    </xf>
    <xf numFmtId="170" fontId="24" fillId="0" borderId="38" xfId="0" applyNumberFormat="1" applyFont="1" applyBorder="1" applyAlignment="1" applyProtection="1">
      <alignment vertical="center"/>
      <protection hidden="1"/>
    </xf>
    <xf numFmtId="170" fontId="23" fillId="0" borderId="17" xfId="0" applyNumberFormat="1" applyFont="1" applyBorder="1" applyAlignment="1" applyProtection="1">
      <alignment horizontal="right" vertical="center"/>
      <protection hidden="1"/>
    </xf>
    <xf numFmtId="170" fontId="23" fillId="0" borderId="0" xfId="0" applyNumberFormat="1" applyFont="1" applyBorder="1" applyAlignment="1" applyProtection="1">
      <alignment vertical="center"/>
      <protection hidden="1"/>
    </xf>
    <xf numFmtId="170" fontId="20" fillId="0" borderId="0" xfId="0" applyNumberFormat="1" applyFont="1" applyBorder="1" applyAlignment="1" applyProtection="1">
      <alignment horizontal="right" vertical="center"/>
      <protection hidden="1"/>
    </xf>
    <xf numFmtId="170" fontId="23" fillId="0" borderId="0" xfId="0" applyNumberFormat="1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vertical="center"/>
      <protection hidden="1"/>
    </xf>
    <xf numFmtId="170" fontId="22" fillId="0" borderId="0" xfId="0" applyNumberFormat="1" applyFont="1" applyBorder="1" applyAlignment="1" applyProtection="1">
      <alignment vertical="center"/>
      <protection hidden="1"/>
    </xf>
    <xf numFmtId="2" fontId="22" fillId="0" borderId="0" xfId="0" applyNumberFormat="1" applyFont="1" applyBorder="1" applyAlignment="1" applyProtection="1">
      <alignment vertical="center"/>
      <protection hidden="1"/>
    </xf>
    <xf numFmtId="170" fontId="24" fillId="0" borderId="8" xfId="6" applyNumberFormat="1" applyFont="1" applyBorder="1" applyAlignment="1" applyProtection="1">
      <alignment vertical="center"/>
      <protection hidden="1"/>
    </xf>
    <xf numFmtId="0" fontId="23" fillId="0" borderId="0" xfId="0" applyFont="1" applyBorder="1" applyProtection="1">
      <protection hidden="1"/>
    </xf>
    <xf numFmtId="0" fontId="20" fillId="0" borderId="0" xfId="0" applyFont="1" applyBorder="1" applyProtection="1">
      <protection hidden="1"/>
    </xf>
    <xf numFmtId="170" fontId="23" fillId="0" borderId="0" xfId="6" applyNumberFormat="1" applyFont="1" applyBorder="1" applyProtection="1">
      <protection hidden="1"/>
    </xf>
    <xf numFmtId="170" fontId="20" fillId="0" borderId="0" xfId="0" applyNumberFormat="1" applyFont="1" applyBorder="1" applyAlignment="1" applyProtection="1">
      <alignment horizontal="right"/>
      <protection hidden="1"/>
    </xf>
    <xf numFmtId="170" fontId="23" fillId="0" borderId="0" xfId="0" applyNumberFormat="1" applyFont="1" applyBorder="1" applyProtection="1">
      <protection hidden="1"/>
    </xf>
    <xf numFmtId="0" fontId="0" fillId="0" borderId="0" xfId="0" applyBorder="1" applyProtection="1">
      <protection hidden="1"/>
    </xf>
    <xf numFmtId="2" fontId="0" fillId="0" borderId="0" xfId="0" applyNumberFormat="1" applyBorder="1" applyProtection="1">
      <protection hidden="1"/>
    </xf>
    <xf numFmtId="0" fontId="29" fillId="0" borderId="0" xfId="0" applyFont="1" applyAlignment="1">
      <alignment horizontal="left" indent="2"/>
    </xf>
    <xf numFmtId="0" fontId="30" fillId="16" borderId="23" xfId="0" applyFont="1" applyFill="1" applyBorder="1" applyAlignment="1">
      <alignment vertical="center" wrapText="1"/>
    </xf>
    <xf numFmtId="0" fontId="4" fillId="16" borderId="8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0" fillId="0" borderId="13" xfId="0" applyBorder="1" applyAlignment="1">
      <alignment horizontal="left" indent="2"/>
    </xf>
    <xf numFmtId="0" fontId="31" fillId="0" borderId="13" xfId="0" applyFont="1" applyBorder="1" applyAlignment="1">
      <alignment horizontal="left" indent="2"/>
    </xf>
    <xf numFmtId="0" fontId="0" fillId="0" borderId="12" xfId="0" applyBorder="1"/>
    <xf numFmtId="171" fontId="0" fillId="0" borderId="9" xfId="6" applyNumberFormat="1" applyFont="1" applyBorder="1" applyAlignment="1">
      <alignment horizontal="center"/>
    </xf>
    <xf numFmtId="172" fontId="0" fillId="0" borderId="0" xfId="6" applyNumberFormat="1" applyFont="1"/>
    <xf numFmtId="171" fontId="0" fillId="0" borderId="0" xfId="6" applyNumberFormat="1" applyFont="1" applyBorder="1" applyAlignment="1">
      <alignment horizontal="center"/>
    </xf>
    <xf numFmtId="0" fontId="2" fillId="17" borderId="13" xfId="0" applyFont="1" applyFill="1" applyBorder="1"/>
    <xf numFmtId="171" fontId="2" fillId="17" borderId="7" xfId="0" applyNumberFormat="1" applyFont="1" applyFill="1" applyBorder="1" applyAlignment="1">
      <alignment horizontal="center" vertical="center" wrapText="1"/>
    </xf>
    <xf numFmtId="0" fontId="0" fillId="17" borderId="13" xfId="0" applyFill="1" applyBorder="1" applyAlignment="1">
      <alignment horizontal="left" indent="2"/>
    </xf>
    <xf numFmtId="171" fontId="0" fillId="17" borderId="7" xfId="6" applyNumberFormat="1" applyFont="1" applyFill="1" applyBorder="1" applyAlignment="1">
      <alignment horizontal="center" vertical="center" wrapText="1"/>
    </xf>
    <xf numFmtId="171" fontId="2" fillId="17" borderId="7" xfId="6" applyNumberFormat="1" applyFont="1" applyFill="1" applyBorder="1" applyAlignment="1">
      <alignment horizontal="center" vertical="center" wrapText="1"/>
    </xf>
    <xf numFmtId="0" fontId="31" fillId="17" borderId="13" xfId="0" applyFont="1" applyFill="1" applyBorder="1" applyAlignment="1">
      <alignment horizontal="left" indent="2"/>
    </xf>
    <xf numFmtId="171" fontId="31" fillId="17" borderId="7" xfId="6" applyNumberFormat="1" applyFont="1" applyFill="1" applyBorder="1" applyAlignment="1">
      <alignment horizontal="center" vertical="center" wrapText="1"/>
    </xf>
    <xf numFmtId="171" fontId="0" fillId="17" borderId="7" xfId="6" applyNumberFormat="1" applyFont="1" applyFill="1" applyBorder="1" applyAlignment="1">
      <alignment horizontal="center"/>
    </xf>
    <xf numFmtId="171" fontId="2" fillId="17" borderId="7" xfId="6" applyNumberFormat="1" applyFont="1" applyFill="1" applyBorder="1" applyAlignment="1">
      <alignment horizontal="center"/>
    </xf>
    <xf numFmtId="0" fontId="0" fillId="17" borderId="12" xfId="0" applyFill="1" applyBorder="1"/>
    <xf numFmtId="171" fontId="0" fillId="17" borderId="9" xfId="6" applyNumberFormat="1" applyFont="1" applyFill="1" applyBorder="1" applyAlignment="1">
      <alignment horizontal="center"/>
    </xf>
    <xf numFmtId="0" fontId="2" fillId="18" borderId="0" xfId="0" quotePrefix="1" applyFont="1" applyFill="1"/>
    <xf numFmtId="0" fontId="0" fillId="18" borderId="0" xfId="0" applyFill="1"/>
    <xf numFmtId="0" fontId="0" fillId="0" borderId="0" xfId="0" quotePrefix="1"/>
    <xf numFmtId="0" fontId="2" fillId="18" borderId="8" xfId="0" quotePrefix="1" applyFont="1" applyFill="1" applyBorder="1"/>
    <xf numFmtId="0" fontId="0" fillId="18" borderId="8" xfId="0" applyFill="1" applyBorder="1" applyAlignment="1">
      <alignment horizontal="center" vertical="center" wrapText="1"/>
    </xf>
    <xf numFmtId="171" fontId="0" fillId="18" borderId="0" xfId="0" applyNumberFormat="1" applyFill="1" applyAlignment="1">
      <alignment horizontal="center"/>
    </xf>
    <xf numFmtId="0" fontId="0" fillId="18" borderId="39" xfId="0" applyFill="1" applyBorder="1"/>
    <xf numFmtId="171" fontId="0" fillId="18" borderId="39" xfId="0" applyNumberFormat="1" applyFill="1" applyBorder="1" applyAlignment="1">
      <alignment horizontal="center"/>
    </xf>
    <xf numFmtId="171" fontId="0" fillId="0" borderId="0" xfId="0" applyNumberFormat="1"/>
    <xf numFmtId="173" fontId="2" fillId="0" borderId="7" xfId="0" applyNumberFormat="1" applyFont="1" applyBorder="1" applyAlignment="1">
      <alignment horizontal="center" vertical="center" wrapText="1"/>
    </xf>
    <xf numFmtId="173" fontId="0" fillId="0" borderId="7" xfId="6" applyNumberFormat="1" applyFont="1" applyBorder="1" applyAlignment="1">
      <alignment horizontal="center" vertical="center" wrapText="1"/>
    </xf>
    <xf numFmtId="173" fontId="2" fillId="0" borderId="7" xfId="6" applyNumberFormat="1" applyFont="1" applyBorder="1" applyAlignment="1">
      <alignment horizontal="center" vertical="center" wrapText="1"/>
    </xf>
    <xf numFmtId="173" fontId="31" fillId="0" borderId="7" xfId="6" applyNumberFormat="1" applyFont="1" applyBorder="1" applyAlignment="1">
      <alignment horizontal="center" vertical="center" wrapText="1"/>
    </xf>
    <xf numFmtId="173" fontId="0" fillId="0" borderId="7" xfId="6" applyNumberFormat="1" applyFont="1" applyBorder="1" applyAlignment="1">
      <alignment horizontal="center"/>
    </xf>
    <xf numFmtId="173" fontId="2" fillId="0" borderId="7" xfId="6" applyNumberFormat="1" applyFont="1" applyBorder="1" applyAlignment="1">
      <alignment horizontal="center"/>
    </xf>
    <xf numFmtId="4" fontId="0" fillId="0" borderId="0" xfId="0" applyNumberFormat="1"/>
    <xf numFmtId="4" fontId="28" fillId="0" borderId="0" xfId="0" applyNumberFormat="1" applyFont="1"/>
    <xf numFmtId="0" fontId="0" fillId="0" borderId="0" xfId="0" applyFont="1" applyBorder="1" applyAlignment="1" applyProtection="1">
      <alignment vertical="center"/>
      <protection hidden="1"/>
    </xf>
    <xf numFmtId="0" fontId="21" fillId="0" borderId="0" xfId="0" applyFont="1" applyFill="1" applyBorder="1" applyProtection="1">
      <protection hidden="1"/>
    </xf>
    <xf numFmtId="0" fontId="23" fillId="13" borderId="18" xfId="0" applyFont="1" applyFill="1" applyBorder="1" applyAlignment="1" applyProtection="1">
      <alignment wrapText="1"/>
      <protection hidden="1"/>
    </xf>
    <xf numFmtId="0" fontId="23" fillId="13" borderId="16" xfId="0" applyFont="1" applyFill="1" applyBorder="1" applyAlignment="1" applyProtection="1">
      <alignment vertical="center" wrapText="1"/>
      <protection hidden="1"/>
    </xf>
    <xf numFmtId="0" fontId="23" fillId="13" borderId="16" xfId="0" applyFont="1" applyFill="1" applyBorder="1" applyAlignment="1" applyProtection="1">
      <alignment horizontal="center" vertical="center" wrapText="1"/>
      <protection hidden="1"/>
    </xf>
    <xf numFmtId="2" fontId="23" fillId="13" borderId="16" xfId="0" applyNumberFormat="1" applyFont="1" applyFill="1" applyBorder="1" applyAlignment="1" applyProtection="1">
      <alignment horizontal="center" vertical="center" wrapText="1"/>
      <protection hidden="1"/>
    </xf>
    <xf numFmtId="0" fontId="23" fillId="13" borderId="38" xfId="0" applyFont="1" applyFill="1" applyBorder="1" applyAlignment="1" applyProtection="1">
      <alignment horizontal="center" vertical="center" wrapText="1"/>
      <protection hidden="1"/>
    </xf>
    <xf numFmtId="170" fontId="23" fillId="15" borderId="20" xfId="0" applyNumberFormat="1" applyFont="1" applyFill="1" applyBorder="1" applyAlignment="1" applyProtection="1">
      <alignment vertical="center"/>
      <protection hidden="1"/>
    </xf>
    <xf numFmtId="170" fontId="20" fillId="15" borderId="15" xfId="0" applyNumberFormat="1" applyFont="1" applyFill="1" applyBorder="1" applyAlignment="1" applyProtection="1">
      <alignment horizontal="right" vertical="center"/>
      <protection hidden="1"/>
    </xf>
    <xf numFmtId="170" fontId="23" fillId="15" borderId="38" xfId="0" applyNumberFormat="1" applyFont="1" applyFill="1" applyBorder="1" applyAlignment="1" applyProtection="1">
      <alignment vertical="center"/>
      <protection hidden="1"/>
    </xf>
    <xf numFmtId="0" fontId="24" fillId="0" borderId="2" xfId="0" applyFont="1" applyBorder="1" applyAlignment="1" applyProtection="1">
      <alignment vertical="center"/>
      <protection hidden="1"/>
    </xf>
    <xf numFmtId="0" fontId="22" fillId="0" borderId="40" xfId="0" applyFont="1" applyBorder="1" applyAlignment="1" applyProtection="1">
      <alignment vertical="center"/>
      <protection hidden="1"/>
    </xf>
    <xf numFmtId="170" fontId="23" fillId="15" borderId="1" xfId="6" applyNumberFormat="1" applyFont="1" applyFill="1" applyBorder="1" applyAlignment="1" applyProtection="1">
      <alignment vertical="center"/>
      <protection hidden="1"/>
    </xf>
    <xf numFmtId="170" fontId="20" fillId="0" borderId="1" xfId="0" applyNumberFormat="1" applyFont="1" applyBorder="1" applyAlignment="1" applyProtection="1">
      <alignment horizontal="left" vertical="center"/>
      <protection hidden="1"/>
    </xf>
    <xf numFmtId="170" fontId="23" fillId="15" borderId="3" xfId="0" applyNumberFormat="1" applyFont="1" applyFill="1" applyBorder="1" applyAlignment="1" applyProtection="1">
      <alignment vertical="center"/>
      <protection hidden="1"/>
    </xf>
    <xf numFmtId="0" fontId="24" fillId="0" borderId="10" xfId="0" applyFont="1" applyBorder="1" applyAlignment="1" applyProtection="1">
      <alignment vertical="center"/>
      <protection hidden="1"/>
    </xf>
    <xf numFmtId="0" fontId="26" fillId="0" borderId="41" xfId="0" applyFont="1" applyBorder="1" applyAlignment="1" applyProtection="1">
      <alignment vertical="center"/>
      <protection hidden="1"/>
    </xf>
    <xf numFmtId="0" fontId="27" fillId="0" borderId="42" xfId="0" applyFont="1" applyBorder="1" applyAlignment="1" applyProtection="1">
      <alignment vertical="center"/>
      <protection hidden="1"/>
    </xf>
    <xf numFmtId="170" fontId="26" fillId="15" borderId="43" xfId="6" applyNumberFormat="1" applyFont="1" applyFill="1" applyBorder="1" applyAlignment="1" applyProtection="1">
      <alignment vertical="center"/>
      <protection hidden="1"/>
    </xf>
    <xf numFmtId="170" fontId="27" fillId="0" borderId="43" xfId="0" applyNumberFormat="1" applyFont="1" applyBorder="1" applyAlignment="1" applyProtection="1">
      <alignment horizontal="left" vertical="center"/>
      <protection hidden="1"/>
    </xf>
    <xf numFmtId="0" fontId="23" fillId="3" borderId="16" xfId="0" quotePrefix="1" applyFont="1" applyFill="1" applyBorder="1" applyAlignment="1" applyProtection="1">
      <alignment vertical="center" wrapText="1"/>
      <protection hidden="1"/>
    </xf>
    <xf numFmtId="9" fontId="23" fillId="0" borderId="24" xfId="4" applyFont="1" applyBorder="1" applyAlignment="1" applyProtection="1">
      <alignment vertical="center"/>
      <protection hidden="1"/>
    </xf>
    <xf numFmtId="170" fontId="24" fillId="0" borderId="29" xfId="6" applyNumberFormat="1" applyFont="1" applyBorder="1" applyAlignment="1" applyProtection="1">
      <alignment vertical="center"/>
      <protection hidden="1"/>
    </xf>
    <xf numFmtId="170" fontId="26" fillId="0" borderId="31" xfId="0" applyNumberFormat="1" applyFont="1" applyBorder="1" applyAlignment="1" applyProtection="1">
      <alignment vertical="center"/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2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locked="0" hidden="1"/>
    </xf>
    <xf numFmtId="0" fontId="34" fillId="0" borderId="0" xfId="0" applyFont="1" applyFill="1" applyBorder="1" applyAlignment="1" applyProtection="1">
      <alignment horizontal="left" vertical="center" wrapText="1"/>
      <protection hidden="1"/>
    </xf>
    <xf numFmtId="9" fontId="0" fillId="0" borderId="0" xfId="0" applyNumberFormat="1"/>
    <xf numFmtId="9" fontId="22" fillId="14" borderId="8" xfId="0" applyNumberFormat="1" applyFont="1" applyFill="1" applyBorder="1" applyAlignment="1" applyProtection="1">
      <alignment horizontal="right" vertical="center"/>
      <protection locked="0" hidden="1"/>
    </xf>
    <xf numFmtId="0" fontId="2" fillId="0" borderId="2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32" fillId="17" borderId="0" xfId="0" applyFont="1" applyFill="1" applyAlignment="1">
      <alignment horizontal="left" vertical="top" wrapText="1"/>
    </xf>
    <xf numFmtId="0" fontId="0" fillId="17" borderId="0" xfId="0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/>
    </xf>
    <xf numFmtId="0" fontId="8" fillId="2" borderId="20" xfId="0" applyFont="1" applyFill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8" fontId="5" fillId="2" borderId="13" xfId="0" applyNumberFormat="1" applyFont="1" applyFill="1" applyBorder="1" applyAlignment="1">
      <alignment horizontal="center"/>
    </xf>
    <xf numFmtId="8" fontId="5" fillId="2" borderId="0" xfId="0" applyNumberFormat="1" applyFont="1" applyFill="1" applyBorder="1" applyAlignment="1">
      <alignment horizontal="center"/>
    </xf>
    <xf numFmtId="0" fontId="8" fillId="2" borderId="14" xfId="0" applyFont="1" applyFill="1" applyBorder="1" applyAlignment="1">
      <alignment horizontal="left"/>
    </xf>
    <xf numFmtId="0" fontId="8" fillId="2" borderId="32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33" fillId="3" borderId="14" xfId="0" applyFont="1" applyFill="1" applyBorder="1" applyAlignment="1" applyProtection="1">
      <alignment horizontal="center" vertical="center" wrapText="1"/>
      <protection hidden="1"/>
    </xf>
    <xf numFmtId="0" fontId="33" fillId="3" borderId="19" xfId="0" applyFont="1" applyFill="1" applyBorder="1" applyAlignment="1" applyProtection="1">
      <alignment horizontal="center" vertical="center" wrapText="1"/>
      <protection hidden="1"/>
    </xf>
    <xf numFmtId="0" fontId="33" fillId="3" borderId="20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Border="1" applyAlignment="1" applyProtection="1">
      <alignment horizontal="center" vertical="top" wrapText="1"/>
      <protection hidden="1"/>
    </xf>
    <xf numFmtId="0" fontId="0" fillId="0" borderId="0" xfId="0" applyFont="1" applyBorder="1" applyAlignment="1" applyProtection="1">
      <alignment horizontal="center" vertical="top" wrapText="1"/>
      <protection hidden="1"/>
    </xf>
    <xf numFmtId="170" fontId="23" fillId="0" borderId="14" xfId="0" applyNumberFormat="1" applyFont="1" applyBorder="1" applyAlignment="1" applyProtection="1">
      <alignment horizontal="right" vertical="center"/>
      <protection hidden="1"/>
    </xf>
    <xf numFmtId="170" fontId="23" fillId="0" borderId="15" xfId="0" applyNumberFormat="1" applyFont="1" applyBorder="1" applyAlignment="1" applyProtection="1">
      <alignment horizontal="right" vertical="center"/>
      <protection hidden="1"/>
    </xf>
  </cellXfs>
  <cellStyles count="7">
    <cellStyle name="Coma" xfId="6" builtinId="3"/>
    <cellStyle name="Moneda" xfId="1" builtinId="4"/>
    <cellStyle name="Normal" xfId="0" builtinId="0"/>
    <cellStyle name="Normal 2" xfId="5"/>
    <cellStyle name="Normal 3" xfId="2"/>
    <cellStyle name="Percentatge" xfId="4" builtinId="5"/>
    <cellStyle name="Percentatge 2" xfId="3"/>
  </cellStyles>
  <dxfs count="8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9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9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9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9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9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9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9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9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9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9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9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9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9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9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9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9" formatCode="#,##0.00_);\(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4" formatCode="#,##0.0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  <numFmt numFmtId="165" formatCode="#,##0_);\(#,##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DINPro-Regula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#,##0_);\(#,##0\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462328</xdr:colOff>
      <xdr:row>0</xdr:row>
      <xdr:rowOff>142875</xdr:rowOff>
    </xdr:from>
    <xdr:to>
      <xdr:col>7</xdr:col>
      <xdr:colOff>558613</xdr:colOff>
      <xdr:row>19</xdr:row>
      <xdr:rowOff>8619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72828" y="142875"/>
          <a:ext cx="8351285" cy="3942444"/>
        </a:xfrm>
        <a:prstGeom prst="rect">
          <a:avLst/>
        </a:prstGeom>
      </xdr:spPr>
    </xdr:pic>
    <xdr:clientData/>
  </xdr:twoCellAnchor>
  <xdr:twoCellAnchor editAs="oneCell">
    <xdr:from>
      <xdr:col>4</xdr:col>
      <xdr:colOff>200024</xdr:colOff>
      <xdr:row>49</xdr:row>
      <xdr:rowOff>45499</xdr:rowOff>
    </xdr:from>
    <xdr:to>
      <xdr:col>7</xdr:col>
      <xdr:colOff>873620</xdr:colOff>
      <xdr:row>69</xdr:row>
      <xdr:rowOff>93382</xdr:rowOff>
    </xdr:to>
    <xdr:pic>
      <xdr:nvPicPr>
        <xdr:cNvPr id="3" name="Imat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10524" y="10605549"/>
          <a:ext cx="10579596" cy="422618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45152751" displayName="Tabla145152751" ref="R39:Z47" totalsRowShown="0" headerRowDxfId="87" dataDxfId="86" headerRowCellStyle="Normal 2" dataCellStyle="Normal 2">
  <autoFilter ref="R39:Z47"/>
  <tableColumns count="9">
    <tableColumn id="1" name="ANUALITAT" dataDxfId="85" dataCellStyle="Normal 2"/>
    <tableColumn id="2" name="Columna2" dataDxfId="84" dataCellStyle="Normal 2"/>
    <tableColumn id="3" name="increment" dataDxfId="83" dataCellStyle="Normal 2"/>
    <tableColumn id="4" name="PAGAMENT" dataDxfId="82" dataCellStyle="Normal 2"/>
    <tableColumn id="5" name="COST" dataDxfId="81" dataCellStyle="Normal 2"/>
    <tableColumn id="6" name="diferencia" dataDxfId="80" dataCellStyle="Normal 2"/>
    <tableColumn id="7" name="SUPOSIT increment %" dataDxfId="79"/>
    <tableColumn id="8" name="font" dataDxfId="78" dataCellStyle="Normal 2"/>
    <tableColumn id="9" name="incorpora inc." dataDxfId="77" dataCellStyle="Normal 2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id="2" name="Tabla1451527514" displayName="Tabla1451527514" ref="R52:Z60" totalsRowShown="0" headerRowDxfId="76" dataDxfId="75" headerRowCellStyle="Normal 2" dataCellStyle="Normal 2">
  <autoFilter ref="R52:Z60"/>
  <tableColumns count="9">
    <tableColumn id="1" name="ANUALITAT" dataDxfId="74" dataCellStyle="Normal 2"/>
    <tableColumn id="2" name="Columna2" dataDxfId="73" dataCellStyle="Normal 2"/>
    <tableColumn id="3" name="increment" dataDxfId="72" dataCellStyle="Normal 2"/>
    <tableColumn id="4" name="PAGAMENT" dataDxfId="71" dataCellStyle="Normal 2"/>
    <tableColumn id="5" name="COST" dataDxfId="70" dataCellStyle="Normal 2"/>
    <tableColumn id="6" name="diferencia" dataDxfId="69" dataCellStyle="Normal 2"/>
    <tableColumn id="7" name="SUPOSIT increment %" dataDxfId="68"/>
    <tableColumn id="8" name="font" dataDxfId="67" dataCellStyle="Normal 2"/>
    <tableColumn id="9" name="Incorpora inc." dataDxfId="66" dataCellStyle="Normal 2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3" name="Tabla14515275145" displayName="Tabla14515275145" ref="R65:Z73" totalsRowShown="0" headerRowDxfId="65" dataDxfId="64" headerRowCellStyle="Normal 2" dataCellStyle="Normal 2">
  <autoFilter ref="R65:Z73"/>
  <tableColumns count="9">
    <tableColumn id="1" name="ANUALITAT" dataDxfId="63" dataCellStyle="Normal 2"/>
    <tableColumn id="2" name="Columna2" dataDxfId="62" dataCellStyle="Normal 2"/>
    <tableColumn id="3" name="increment" dataDxfId="61" dataCellStyle="Normal 2"/>
    <tableColumn id="4" name="PAGAMENT" dataDxfId="60" dataCellStyle="Normal 2"/>
    <tableColumn id="5" name="COST" dataDxfId="59" dataCellStyle="Normal 2"/>
    <tableColumn id="6" name="diferencia" dataDxfId="58" dataCellStyle="Normal 2"/>
    <tableColumn id="7" name="SUPOSIT increment %" dataDxfId="57"/>
    <tableColumn id="8" name="font" dataDxfId="56" dataCellStyle="Normal 2"/>
    <tableColumn id="9" name="Incorpora inc." dataDxfId="55" dataCellStyle="Normal 2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4" name="Tabla145152751456" displayName="Tabla145152751456" ref="R78:Z86" totalsRowShown="0" headerRowDxfId="54" dataDxfId="53" headerRowCellStyle="Normal 2" dataCellStyle="Normal 2">
  <autoFilter ref="R78:Z86"/>
  <tableColumns count="9">
    <tableColumn id="1" name="ANUALITAT" dataDxfId="52" dataCellStyle="Normal 2"/>
    <tableColumn id="2" name="Columna2" dataDxfId="51" dataCellStyle="Normal 2"/>
    <tableColumn id="3" name="increment" dataDxfId="50" dataCellStyle="Normal 2"/>
    <tableColumn id="4" name="PAGAMENT" dataDxfId="49" dataCellStyle="Normal 2"/>
    <tableColumn id="5" name="COST" dataDxfId="48" dataCellStyle="Normal 2"/>
    <tableColumn id="6" name="diferencia" dataDxfId="47" dataCellStyle="Normal 2"/>
    <tableColumn id="7" name="SUPOSIT increment %" dataDxfId="46"/>
    <tableColumn id="8" name="font" dataDxfId="45" dataCellStyle="Normal 2"/>
    <tableColumn id="9" name="Incorpora inc." dataDxfId="44" dataCellStyle="Normal 2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5" name="Tabla1451527514569" displayName="Tabla1451527514569" ref="R91:Z99" totalsRowShown="0" headerRowDxfId="43" dataDxfId="42" headerRowCellStyle="Normal 2" dataCellStyle="Normal 2">
  <autoFilter ref="R91:Z99"/>
  <tableColumns count="9">
    <tableColumn id="1" name="ANUALITAT" dataDxfId="41" dataCellStyle="Normal 2"/>
    <tableColumn id="2" name="Columna2" dataDxfId="40" dataCellStyle="Normal 2"/>
    <tableColumn id="3" name="increment" dataDxfId="39" dataCellStyle="Normal 2"/>
    <tableColumn id="4" name="PAGAMENT" dataDxfId="38" dataCellStyle="Normal 2"/>
    <tableColumn id="5" name="COST" dataDxfId="37" dataCellStyle="Normal 2"/>
    <tableColumn id="6" name="diferencia" dataDxfId="36" dataCellStyle="Normal 2"/>
    <tableColumn id="7" name="SUPOSIT increment %" dataDxfId="35"/>
    <tableColumn id="8" name="font" dataDxfId="34" dataCellStyle="Normal 2"/>
    <tableColumn id="9" name="Incorpora inc." dataDxfId="33" dataCellStyle="Normal 2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6" name="Tabla14515275145610" displayName="Tabla14515275145610" ref="R104:Z112" totalsRowShown="0" headerRowDxfId="32" dataDxfId="31" headerRowCellStyle="Normal 2" dataCellStyle="Normal 2">
  <autoFilter ref="R104:Z112"/>
  <tableColumns count="9">
    <tableColumn id="1" name="ANUALITAT" dataDxfId="30" dataCellStyle="Normal 2"/>
    <tableColumn id="2" name="Columna2" dataDxfId="29" dataCellStyle="Normal 2"/>
    <tableColumn id="3" name="increment" dataDxfId="28" dataCellStyle="Normal 2"/>
    <tableColumn id="4" name="PAGAMENT" dataDxfId="27" dataCellStyle="Normal 2"/>
    <tableColumn id="5" name="COST" dataDxfId="26" dataCellStyle="Normal 2"/>
    <tableColumn id="6" name="diferencia" dataDxfId="25" dataCellStyle="Normal 2"/>
    <tableColumn id="7" name="SUPOSIT increment %" dataDxfId="24"/>
    <tableColumn id="8" name="font" dataDxfId="23" dataCellStyle="Normal 2"/>
    <tableColumn id="9" name="Incorpora inc." dataDxfId="22" dataCellStyle="Normal 2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7" name="Tabla14515275145611" displayName="Tabla14515275145611" ref="R117:Z125" totalsRowShown="0" headerRowDxfId="21" dataDxfId="20" headerRowCellStyle="Normal 2" dataCellStyle="Normal 2">
  <autoFilter ref="R117:Z125"/>
  <tableColumns count="9">
    <tableColumn id="1" name="ANUALITAT" dataDxfId="19" dataCellStyle="Normal 2"/>
    <tableColumn id="2" name="Columna2" dataDxfId="18" dataCellStyle="Normal 2"/>
    <tableColumn id="3" name="increment" dataDxfId="17" dataCellStyle="Normal 2"/>
    <tableColumn id="4" name="PAGAMENT" dataDxfId="16" dataCellStyle="Normal 2"/>
    <tableColumn id="5" name="COST" dataDxfId="15" dataCellStyle="Normal 2"/>
    <tableColumn id="6" name="diferencia" dataDxfId="14" dataCellStyle="Normal 2"/>
    <tableColumn id="7" name="SUPOSIT increment %" dataDxfId="13"/>
    <tableColumn id="8" name="font" dataDxfId="12" dataCellStyle="Normal 2"/>
    <tableColumn id="9" name="Incorpora inc." dataDxfId="11" dataCellStyle="Normal 2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8" name="Tabla14515275112" displayName="Tabla14515275112" ref="E39:M48" totalsRowShown="0" headerRowDxfId="10" dataDxfId="9" headerRowCellStyle="Normal 2" dataCellStyle="Normal 2">
  <autoFilter ref="E39:M48"/>
  <tableColumns count="9">
    <tableColumn id="1" name="ANUALITAT" dataDxfId="8" dataCellStyle="Normal 2"/>
    <tableColumn id="2" name="Columna2" dataDxfId="7" dataCellStyle="Normal 2"/>
    <tableColumn id="3" name="increment" dataDxfId="6" dataCellStyle="Normal 2"/>
    <tableColumn id="4" name="PAGAMENT" dataDxfId="5" dataCellStyle="Normal 2"/>
    <tableColumn id="5" name="COST" dataDxfId="4" dataCellStyle="Normal 2"/>
    <tableColumn id="6" name="diferencia" dataDxfId="3" dataCellStyle="Normal 2"/>
    <tableColumn id="7" name="SUPOSIT increment %" dataDxfId="2"/>
    <tableColumn id="8" name="font" dataDxfId="1" dataCellStyle="Normal 2"/>
    <tableColumn id="9" name="referència" dataDxfId="0" dataCellStyle="Normal 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2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81"/>
  <sheetViews>
    <sheetView workbookViewId="0">
      <selection activeCell="F49" sqref="F49"/>
    </sheetView>
  </sheetViews>
  <sheetFormatPr defaultRowHeight="15"/>
  <cols>
    <col min="2" max="2" width="46" customWidth="1"/>
    <col min="3" max="3" width="18.5703125" customWidth="1"/>
    <col min="5" max="5" width="10.28515625" bestFit="1" customWidth="1"/>
  </cols>
  <sheetData>
    <row r="2" spans="2:3">
      <c r="B2" s="215" t="s">
        <v>79</v>
      </c>
      <c r="C2" s="216"/>
    </row>
    <row r="3" spans="2:3">
      <c r="B3" s="146" t="s">
        <v>80</v>
      </c>
    </row>
    <row r="4" spans="2:3">
      <c r="B4" s="146"/>
    </row>
    <row r="5" spans="2:3">
      <c r="B5" s="147" t="s">
        <v>81</v>
      </c>
      <c r="C5" s="148">
        <v>2022</v>
      </c>
    </row>
    <row r="6" spans="2:3">
      <c r="B6" s="149" t="s">
        <v>82</v>
      </c>
      <c r="C6" s="176">
        <f>SUM(C7:C9)</f>
        <v>202500.2</v>
      </c>
    </row>
    <row r="7" spans="2:3">
      <c r="B7" s="150" t="s">
        <v>83</v>
      </c>
      <c r="C7" s="177">
        <v>154549.20000000001</v>
      </c>
    </row>
    <row r="8" spans="2:3">
      <c r="B8" s="150" t="s">
        <v>84</v>
      </c>
      <c r="C8" s="177">
        <v>15983</v>
      </c>
    </row>
    <row r="9" spans="2:3">
      <c r="B9" s="150" t="s">
        <v>85</v>
      </c>
      <c r="C9" s="177">
        <v>31968</v>
      </c>
    </row>
    <row r="10" spans="2:3">
      <c r="B10" s="149" t="s">
        <v>86</v>
      </c>
      <c r="C10" s="178">
        <f>SUM(C11:C12)</f>
        <v>202500</v>
      </c>
    </row>
    <row r="11" spans="2:3">
      <c r="B11" s="151" t="s">
        <v>87</v>
      </c>
      <c r="C11" s="179">
        <v>101250</v>
      </c>
    </row>
    <row r="12" spans="2:3">
      <c r="B12" s="150" t="s">
        <v>88</v>
      </c>
      <c r="C12" s="180">
        <v>101250</v>
      </c>
    </row>
    <row r="13" spans="2:3">
      <c r="B13" s="149" t="s">
        <v>89</v>
      </c>
      <c r="C13" s="181">
        <f>+C10-C6</f>
        <v>-0.2</v>
      </c>
    </row>
    <row r="14" spans="2:3">
      <c r="B14" s="152"/>
      <c r="C14" s="153"/>
    </row>
    <row r="15" spans="2:3">
      <c r="C15" s="154"/>
    </row>
    <row r="16" spans="2:3">
      <c r="B16" s="217" t="s">
        <v>90</v>
      </c>
      <c r="C16" s="217"/>
    </row>
    <row r="17" spans="2:6">
      <c r="B17" s="217"/>
      <c r="C17" s="217"/>
    </row>
    <row r="18" spans="2:6">
      <c r="B18" s="217"/>
      <c r="C18" s="217"/>
    </row>
    <row r="19" spans="2:6">
      <c r="C19" s="154"/>
    </row>
    <row r="20" spans="2:6">
      <c r="B20" s="147" t="s">
        <v>91</v>
      </c>
      <c r="C20" s="148">
        <v>2022</v>
      </c>
      <c r="E20">
        <v>2024</v>
      </c>
      <c r="F20" t="s">
        <v>120</v>
      </c>
    </row>
    <row r="21" spans="2:6">
      <c r="B21" s="149" t="s">
        <v>82</v>
      </c>
      <c r="C21" s="176">
        <f>SUM(C22:C24)</f>
        <v>202500</v>
      </c>
      <c r="E21" s="182">
        <f>SUM(E22:E24)</f>
        <v>215189.61</v>
      </c>
    </row>
    <row r="22" spans="2:6">
      <c r="B22" s="150" t="s">
        <v>83</v>
      </c>
      <c r="C22" s="177">
        <v>146132</v>
      </c>
      <c r="E22" s="182">
        <v>163727</v>
      </c>
    </row>
    <row r="23" spans="2:6">
      <c r="B23" s="150" t="s">
        <v>92</v>
      </c>
      <c r="C23" s="177">
        <v>26622</v>
      </c>
      <c r="E23" s="182">
        <f>8957.51+1200+360+1800+620+7000+10200</f>
        <v>30137.51</v>
      </c>
    </row>
    <row r="24" spans="2:6">
      <c r="B24" s="150" t="s">
        <v>85</v>
      </c>
      <c r="C24" s="177">
        <v>29746</v>
      </c>
      <c r="E24" s="182">
        <v>21325.1</v>
      </c>
    </row>
    <row r="25" spans="2:6">
      <c r="B25" s="149" t="s">
        <v>86</v>
      </c>
      <c r="C25" s="178">
        <f>SUM(C26:C27)</f>
        <v>202500</v>
      </c>
      <c r="E25" s="182">
        <f>SUM(E26:E27)</f>
        <v>215189.61</v>
      </c>
    </row>
    <row r="26" spans="2:6">
      <c r="B26" s="151" t="s">
        <v>87</v>
      </c>
      <c r="C26" s="179">
        <v>101250</v>
      </c>
      <c r="E26" s="183">
        <v>101250</v>
      </c>
    </row>
    <row r="27" spans="2:6">
      <c r="B27" s="150" t="s">
        <v>88</v>
      </c>
      <c r="C27" s="180">
        <v>101250</v>
      </c>
      <c r="E27" s="183">
        <v>113939.61</v>
      </c>
    </row>
    <row r="28" spans="2:6">
      <c r="B28" s="149" t="s">
        <v>89</v>
      </c>
      <c r="C28" s="181">
        <f>+C25-C21</f>
        <v>0</v>
      </c>
      <c r="E28" s="182">
        <f>E25-E21</f>
        <v>0</v>
      </c>
    </row>
    <row r="29" spans="2:6">
      <c r="B29" s="152"/>
      <c r="C29" s="153"/>
    </row>
    <row r="30" spans="2:6">
      <c r="C30" s="155"/>
    </row>
    <row r="31" spans="2:6">
      <c r="C31" s="155"/>
    </row>
    <row r="32" spans="2:6">
      <c r="B32" s="147" t="s">
        <v>93</v>
      </c>
      <c r="C32" s="148">
        <v>2022</v>
      </c>
    </row>
    <row r="33" spans="2:3">
      <c r="B33" s="156" t="s">
        <v>82</v>
      </c>
      <c r="C33" s="157">
        <f t="shared" ref="C33:C40" si="0">+C6+C21</f>
        <v>405000</v>
      </c>
    </row>
    <row r="34" spans="2:3">
      <c r="B34" s="158" t="s">
        <v>83</v>
      </c>
      <c r="C34" s="159">
        <f>+C7+C22</f>
        <v>300681</v>
      </c>
    </row>
    <row r="35" spans="2:3">
      <c r="B35" s="158" t="s">
        <v>92</v>
      </c>
      <c r="C35" s="159">
        <f t="shared" si="0"/>
        <v>42605</v>
      </c>
    </row>
    <row r="36" spans="2:3">
      <c r="B36" s="158" t="s">
        <v>85</v>
      </c>
      <c r="C36" s="159">
        <f t="shared" si="0"/>
        <v>61714</v>
      </c>
    </row>
    <row r="37" spans="2:3">
      <c r="B37" s="156" t="s">
        <v>86</v>
      </c>
      <c r="C37" s="160">
        <f t="shared" si="0"/>
        <v>405000</v>
      </c>
    </row>
    <row r="38" spans="2:3">
      <c r="B38" s="161" t="s">
        <v>87</v>
      </c>
      <c r="C38" s="162">
        <f t="shared" si="0"/>
        <v>202500</v>
      </c>
    </row>
    <row r="39" spans="2:3">
      <c r="B39" s="158" t="s">
        <v>88</v>
      </c>
      <c r="C39" s="163">
        <f t="shared" si="0"/>
        <v>202500</v>
      </c>
    </row>
    <row r="40" spans="2:3">
      <c r="B40" s="156" t="s">
        <v>89</v>
      </c>
      <c r="C40" s="164">
        <f t="shared" si="0"/>
        <v>0</v>
      </c>
    </row>
    <row r="41" spans="2:3">
      <c r="B41" s="165"/>
      <c r="C41" s="166"/>
    </row>
    <row r="42" spans="2:3">
      <c r="C42" s="155"/>
    </row>
    <row r="43" spans="2:3">
      <c r="B43" s="218" t="s">
        <v>94</v>
      </c>
      <c r="C43" s="219"/>
    </row>
    <row r="44" spans="2:3">
      <c r="B44" s="219"/>
      <c r="C44" s="219"/>
    </row>
    <row r="45" spans="2:3">
      <c r="C45" s="155"/>
    </row>
    <row r="46" spans="2:3">
      <c r="C46" s="155"/>
    </row>
    <row r="47" spans="2:3">
      <c r="B47" s="167" t="s">
        <v>95</v>
      </c>
      <c r="C47" s="168"/>
    </row>
    <row r="48" spans="2:3">
      <c r="B48" s="169"/>
    </row>
    <row r="49" spans="2:3">
      <c r="B49" s="170" t="s">
        <v>96</v>
      </c>
      <c r="C49" s="171">
        <v>2022</v>
      </c>
    </row>
    <row r="50" spans="2:3">
      <c r="B50" s="168" t="s">
        <v>97</v>
      </c>
      <c r="C50" s="172">
        <v>8258.49</v>
      </c>
    </row>
    <row r="51" spans="2:3">
      <c r="B51" s="168" t="s">
        <v>98</v>
      </c>
      <c r="C51" s="172">
        <v>3694.66</v>
      </c>
    </row>
    <row r="52" spans="2:3">
      <c r="B52" s="168" t="s">
        <v>99</v>
      </c>
      <c r="C52" s="172">
        <v>2721.96</v>
      </c>
    </row>
    <row r="53" spans="2:3">
      <c r="B53" s="168" t="s">
        <v>100</v>
      </c>
      <c r="C53" s="172">
        <v>270</v>
      </c>
    </row>
    <row r="54" spans="2:3">
      <c r="B54" s="168" t="s">
        <v>101</v>
      </c>
      <c r="C54" s="172">
        <v>1001.54</v>
      </c>
    </row>
    <row r="55" spans="2:3">
      <c r="B55" s="173" t="s">
        <v>102</v>
      </c>
      <c r="C55" s="174">
        <v>36</v>
      </c>
    </row>
    <row r="56" spans="2:3">
      <c r="B56" s="168" t="s">
        <v>103</v>
      </c>
      <c r="C56" s="172">
        <f>SUM(C50:C55)</f>
        <v>15983</v>
      </c>
    </row>
    <row r="57" spans="2:3">
      <c r="C57" s="175"/>
    </row>
    <row r="58" spans="2:3">
      <c r="B58" s="170" t="s">
        <v>104</v>
      </c>
      <c r="C58" s="171">
        <v>2022</v>
      </c>
    </row>
    <row r="59" spans="2:3">
      <c r="B59" s="168" t="s">
        <v>105</v>
      </c>
      <c r="C59" s="172">
        <v>1080.93</v>
      </c>
    </row>
    <row r="60" spans="2:3">
      <c r="B60" s="168" t="s">
        <v>106</v>
      </c>
      <c r="C60" s="172">
        <v>141</v>
      </c>
    </row>
    <row r="61" spans="2:3">
      <c r="B61" s="168" t="s">
        <v>107</v>
      </c>
      <c r="C61" s="172">
        <v>822.8</v>
      </c>
    </row>
    <row r="62" spans="2:3">
      <c r="B62" s="168" t="s">
        <v>108</v>
      </c>
      <c r="C62" s="172">
        <v>1362.96</v>
      </c>
    </row>
    <row r="63" spans="2:3">
      <c r="B63" s="168" t="s">
        <v>109</v>
      </c>
      <c r="C63" s="172">
        <v>332.99</v>
      </c>
    </row>
    <row r="64" spans="2:3">
      <c r="B64" s="168" t="s">
        <v>110</v>
      </c>
      <c r="C64" s="172">
        <v>180.03</v>
      </c>
    </row>
    <row r="65" spans="2:3">
      <c r="B65" s="168" t="s">
        <v>97</v>
      </c>
      <c r="C65" s="172">
        <v>8287.27</v>
      </c>
    </row>
    <row r="66" spans="2:3">
      <c r="B66" s="168" t="s">
        <v>98</v>
      </c>
      <c r="C66" s="172">
        <v>847</v>
      </c>
    </row>
    <row r="67" spans="2:3">
      <c r="B67" s="168" t="s">
        <v>111</v>
      </c>
      <c r="C67" s="172">
        <v>527</v>
      </c>
    </row>
    <row r="68" spans="2:3">
      <c r="B68" s="168" t="s">
        <v>112</v>
      </c>
      <c r="C68" s="172">
        <v>7130.84</v>
      </c>
    </row>
    <row r="69" spans="2:3">
      <c r="B69" s="168" t="s">
        <v>113</v>
      </c>
      <c r="C69" s="172">
        <v>23.63</v>
      </c>
    </row>
    <row r="70" spans="2:3">
      <c r="B70" s="168" t="s">
        <v>99</v>
      </c>
      <c r="C70" s="172">
        <v>2703.81</v>
      </c>
    </row>
    <row r="71" spans="2:3">
      <c r="B71" s="168" t="s">
        <v>114</v>
      </c>
      <c r="C71" s="172">
        <v>135.25</v>
      </c>
    </row>
    <row r="72" spans="2:3">
      <c r="B72" s="168" t="s">
        <v>115</v>
      </c>
      <c r="C72" s="172">
        <v>922</v>
      </c>
    </row>
    <row r="73" spans="2:3">
      <c r="B73" s="168" t="s">
        <v>116</v>
      </c>
      <c r="C73" s="172">
        <v>1097.48</v>
      </c>
    </row>
    <row r="74" spans="2:3">
      <c r="B74" s="168" t="s">
        <v>100</v>
      </c>
      <c r="C74" s="172">
        <v>379.65</v>
      </c>
    </row>
    <row r="75" spans="2:3">
      <c r="B75" s="168" t="s">
        <v>117</v>
      </c>
      <c r="C75" s="172"/>
    </row>
    <row r="76" spans="2:3">
      <c r="B76" s="168" t="s">
        <v>101</v>
      </c>
      <c r="C76" s="172">
        <v>456.21</v>
      </c>
    </row>
    <row r="77" spans="2:3">
      <c r="B77" s="168" t="s">
        <v>118</v>
      </c>
      <c r="C77" s="172"/>
    </row>
    <row r="78" spans="2:3">
      <c r="B78" s="173" t="s">
        <v>102</v>
      </c>
      <c r="C78" s="174">
        <v>190.9</v>
      </c>
    </row>
    <row r="79" spans="2:3">
      <c r="B79" s="168" t="s">
        <v>103</v>
      </c>
      <c r="C79" s="172">
        <f>SUM(C59:C78)</f>
        <v>26622</v>
      </c>
    </row>
    <row r="80" spans="2:3">
      <c r="C80" s="175"/>
    </row>
    <row r="81" spans="2:3">
      <c r="B81" s="167" t="s">
        <v>119</v>
      </c>
      <c r="C81" s="168"/>
    </row>
  </sheetData>
  <mergeCells count="3">
    <mergeCell ref="B2:C2"/>
    <mergeCell ref="B16:C18"/>
    <mergeCell ref="B43:C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O125"/>
  <sheetViews>
    <sheetView topLeftCell="A23" zoomScale="70" zoomScaleNormal="70" workbookViewId="0">
      <selection activeCell="B32" sqref="B32"/>
    </sheetView>
  </sheetViews>
  <sheetFormatPr defaultRowHeight="15"/>
  <cols>
    <col min="1" max="1" width="6.140625" bestFit="1" customWidth="1"/>
    <col min="2" max="2" width="75.42578125" bestFit="1" customWidth="1"/>
    <col min="3" max="3" width="19.140625" customWidth="1"/>
    <col min="4" max="4" width="11" bestFit="1" customWidth="1"/>
    <col min="5" max="5" width="18.5703125" customWidth="1"/>
    <col min="6" max="6" width="16.28515625" bestFit="1" customWidth="1"/>
    <col min="7" max="7" width="18.28515625" customWidth="1"/>
    <col min="8" max="8" width="22.140625" bestFit="1" customWidth="1"/>
    <col min="9" max="9" width="19.5703125" bestFit="1" customWidth="1"/>
    <col min="10" max="10" width="22.140625" bestFit="1" customWidth="1"/>
    <col min="11" max="11" width="33.85546875" bestFit="1" customWidth="1"/>
    <col min="12" max="12" width="14" bestFit="1" customWidth="1"/>
    <col min="13" max="13" width="16.5703125" bestFit="1" customWidth="1"/>
    <col min="14" max="14" width="21" customWidth="1"/>
    <col min="15" max="15" width="16.85546875" bestFit="1" customWidth="1"/>
    <col min="16" max="16" width="20.42578125" customWidth="1"/>
    <col min="17" max="17" width="14.5703125" bestFit="1" customWidth="1"/>
    <col min="18" max="18" width="20.5703125" customWidth="1"/>
    <col min="19" max="19" width="12.140625" bestFit="1" customWidth="1"/>
    <col min="20" max="20" width="25" bestFit="1" customWidth="1"/>
    <col min="21" max="21" width="26" customWidth="1"/>
    <col min="22" max="22" width="24.140625" customWidth="1"/>
    <col min="23" max="23" width="16.28515625" bestFit="1" customWidth="1"/>
    <col min="24" max="24" width="25" bestFit="1" customWidth="1"/>
    <col min="25" max="25" width="15" bestFit="1" customWidth="1"/>
    <col min="26" max="26" width="15.42578125" bestFit="1" customWidth="1"/>
    <col min="28" max="28" width="17.140625" bestFit="1" customWidth="1"/>
    <col min="29" max="29" width="13.5703125" bestFit="1" customWidth="1"/>
    <col min="30" max="30" width="14.42578125" bestFit="1" customWidth="1"/>
    <col min="33" max="33" width="14.85546875" bestFit="1" customWidth="1"/>
    <col min="34" max="34" width="11" bestFit="1" customWidth="1"/>
    <col min="35" max="35" width="34.5703125" customWidth="1"/>
    <col min="36" max="37" width="21.42578125" bestFit="1" customWidth="1"/>
    <col min="38" max="38" width="14" bestFit="1" customWidth="1"/>
    <col min="39" max="39" width="27.28515625" bestFit="1" customWidth="1"/>
  </cols>
  <sheetData>
    <row r="7" spans="1:41">
      <c r="B7" s="3"/>
      <c r="C7" s="4" t="s">
        <v>0</v>
      </c>
    </row>
    <row r="8" spans="1:41" ht="15.75" thickBot="1">
      <c r="B8" s="3"/>
      <c r="C8" s="5">
        <v>2018</v>
      </c>
    </row>
    <row r="9" spans="1:41" ht="21.75" thickBot="1">
      <c r="B9" s="3"/>
      <c r="C9" s="5" t="s">
        <v>1</v>
      </c>
      <c r="AF9" s="6" t="s">
        <v>2</v>
      </c>
      <c r="AG9" s="222" t="str">
        <f>R36</f>
        <v>DIRECCIÓ</v>
      </c>
      <c r="AH9" s="222"/>
      <c r="AI9" s="222"/>
      <c r="AJ9" s="222"/>
      <c r="AK9" s="222"/>
      <c r="AL9" s="222"/>
      <c r="AM9" s="223"/>
    </row>
    <row r="10" spans="1:41">
      <c r="A10" s="7" t="s">
        <v>3</v>
      </c>
      <c r="B10" s="7" t="s">
        <v>4</v>
      </c>
      <c r="C10" s="8" t="s">
        <v>5</v>
      </c>
      <c r="AG10" s="9" t="s">
        <v>6</v>
      </c>
      <c r="AH10" s="9"/>
      <c r="AI10" s="9" t="s">
        <v>7</v>
      </c>
      <c r="AJ10" s="9"/>
      <c r="AK10" s="9"/>
      <c r="AL10" s="10"/>
      <c r="AM10" s="9" t="s">
        <v>8</v>
      </c>
    </row>
    <row r="11" spans="1:41">
      <c r="A11" s="11" t="s">
        <v>9</v>
      </c>
      <c r="B11" s="12" t="s">
        <v>10</v>
      </c>
      <c r="C11" s="13">
        <v>29513.4</v>
      </c>
      <c r="AG11" s="14"/>
      <c r="AL11" s="15"/>
      <c r="AM11" s="16"/>
    </row>
    <row r="12" spans="1:41">
      <c r="A12" s="11" t="s">
        <v>11</v>
      </c>
      <c r="B12" s="12" t="s">
        <v>12</v>
      </c>
      <c r="C12" s="13">
        <v>24917.34</v>
      </c>
      <c r="AG12" s="17" t="s">
        <v>13</v>
      </c>
      <c r="AH12" s="18" t="s">
        <v>14</v>
      </c>
      <c r="AI12" s="17" t="s">
        <v>15</v>
      </c>
      <c r="AJ12" s="17" t="s">
        <v>16</v>
      </c>
      <c r="AK12" s="17" t="s">
        <v>17</v>
      </c>
      <c r="AL12" s="19" t="s">
        <v>18</v>
      </c>
      <c r="AM12" s="20" t="s">
        <v>19</v>
      </c>
      <c r="AN12" s="17" t="s">
        <v>20</v>
      </c>
      <c r="AO12" s="17" t="s">
        <v>21</v>
      </c>
    </row>
    <row r="13" spans="1:41">
      <c r="A13" s="11" t="s">
        <v>22</v>
      </c>
      <c r="B13" s="12" t="s">
        <v>23</v>
      </c>
      <c r="C13" s="13">
        <v>23023.84</v>
      </c>
      <c r="AG13" s="21"/>
      <c r="AH13" s="22"/>
      <c r="AI13" s="23">
        <v>0</v>
      </c>
      <c r="AJ13" s="23">
        <v>1000</v>
      </c>
      <c r="AK13" s="23">
        <v>1000</v>
      </c>
      <c r="AL13" s="24">
        <f t="shared" ref="AL13:AL15" si="0">+AJ13-AK13</f>
        <v>0</v>
      </c>
      <c r="AM13" s="25">
        <v>0</v>
      </c>
      <c r="AN13" s="26"/>
      <c r="AO13" s="26"/>
    </row>
    <row r="14" spans="1:41" ht="19.5">
      <c r="A14" s="11" t="s">
        <v>22</v>
      </c>
      <c r="B14" s="12" t="s">
        <v>24</v>
      </c>
      <c r="C14" s="13">
        <v>20639.22</v>
      </c>
      <c r="AG14" s="27">
        <v>2023</v>
      </c>
      <c r="AH14" s="28"/>
      <c r="AI14" s="29">
        <f>(AK16-2000)/2/1000</f>
        <v>7.6300000000000007E-2</v>
      </c>
      <c r="AJ14" s="30">
        <f>+AJ13+AJ13*AI14</f>
        <v>1076.3</v>
      </c>
      <c r="AK14" s="30">
        <f>+AK13+AK13*AM14</f>
        <v>1050</v>
      </c>
      <c r="AL14" s="31">
        <f t="shared" si="0"/>
        <v>26.3</v>
      </c>
      <c r="AM14" s="32">
        <f>X41</f>
        <v>0.05</v>
      </c>
      <c r="AN14" s="33" t="s">
        <v>25</v>
      </c>
      <c r="AO14" s="33"/>
    </row>
    <row r="15" spans="1:41">
      <c r="A15" s="11" t="s">
        <v>22</v>
      </c>
      <c r="B15" s="12" t="s">
        <v>26</v>
      </c>
      <c r="C15" s="13">
        <v>18239.900000000001</v>
      </c>
      <c r="AG15" s="34">
        <v>2024</v>
      </c>
      <c r="AH15" s="35"/>
      <c r="AI15" s="36"/>
      <c r="AJ15" s="37">
        <f>+AJ14</f>
        <v>1076.3</v>
      </c>
      <c r="AK15" s="37">
        <f>+AK14+AK14*AM15</f>
        <v>1102.5</v>
      </c>
      <c r="AL15" s="24">
        <f t="shared" si="0"/>
        <v>-26.2</v>
      </c>
      <c r="AM15" s="38">
        <f>X42</f>
        <v>0.05</v>
      </c>
      <c r="AN15" s="26" t="s">
        <v>25</v>
      </c>
      <c r="AO15" s="26"/>
    </row>
    <row r="16" spans="1:41" ht="19.5">
      <c r="A16" s="11" t="s">
        <v>27</v>
      </c>
      <c r="B16" s="12" t="s">
        <v>28</v>
      </c>
      <c r="C16" s="13">
        <v>14554.4</v>
      </c>
      <c r="AG16" s="39" t="s">
        <v>29</v>
      </c>
      <c r="AH16" s="40"/>
      <c r="AI16" s="41"/>
      <c r="AJ16" s="42">
        <f>SUM(AJ14:AJ15)</f>
        <v>2152.6</v>
      </c>
      <c r="AK16" s="42">
        <f>SUM(AK14:AK15)</f>
        <v>2152.5</v>
      </c>
      <c r="AL16" s="43">
        <f>SUM(AL14:AL15)</f>
        <v>0.1</v>
      </c>
      <c r="AM16" s="44" t="b">
        <f>AJ16=AK16</f>
        <v>0</v>
      </c>
    </row>
    <row r="18" spans="1:41" ht="15.75" thickBot="1">
      <c r="C18" s="45" t="s">
        <v>30</v>
      </c>
    </row>
    <row r="19" spans="1:41" ht="21.75" thickBot="1">
      <c r="C19" s="46">
        <v>15120</v>
      </c>
      <c r="AF19" s="6" t="s">
        <v>2</v>
      </c>
      <c r="AG19" s="222" t="str">
        <f>AG9</f>
        <v>DIRECCIÓ</v>
      </c>
      <c r="AH19" s="222"/>
      <c r="AI19" s="222"/>
      <c r="AJ19" s="222"/>
      <c r="AK19" s="222"/>
      <c r="AL19" s="222"/>
      <c r="AM19" s="223"/>
    </row>
    <row r="20" spans="1:41">
      <c r="AG20" s="9" t="s">
        <v>6</v>
      </c>
      <c r="AH20" s="9"/>
      <c r="AI20" s="9" t="s">
        <v>7</v>
      </c>
      <c r="AJ20" s="9"/>
      <c r="AK20" s="9"/>
      <c r="AL20" s="10"/>
      <c r="AM20" s="9" t="s">
        <v>8</v>
      </c>
    </row>
    <row r="21" spans="1:41" ht="15.75" thickBot="1">
      <c r="C21" s="47"/>
      <c r="AG21" s="14"/>
      <c r="AL21" s="15"/>
      <c r="AM21" s="16"/>
    </row>
    <row r="22" spans="1:41" ht="15.75" thickBot="1">
      <c r="C22" s="48" t="s">
        <v>31</v>
      </c>
      <c r="D22" s="224" t="s">
        <v>32</v>
      </c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6"/>
      <c r="AG22" s="49" t="s">
        <v>13</v>
      </c>
      <c r="AH22" s="50" t="s">
        <v>14</v>
      </c>
      <c r="AI22" s="51" t="s">
        <v>15</v>
      </c>
      <c r="AJ22" s="51" t="s">
        <v>16</v>
      </c>
      <c r="AK22" s="51" t="s">
        <v>17</v>
      </c>
      <c r="AL22" s="52" t="s">
        <v>18</v>
      </c>
      <c r="AM22" s="53" t="s">
        <v>19</v>
      </c>
      <c r="AN22" s="54" t="s">
        <v>20</v>
      </c>
      <c r="AO22" s="54" t="s">
        <v>21</v>
      </c>
    </row>
    <row r="23" spans="1:41">
      <c r="AG23" s="21"/>
      <c r="AH23" s="22"/>
      <c r="AI23" s="23">
        <v>0</v>
      </c>
      <c r="AJ23" s="23">
        <f>AK15</f>
        <v>1103</v>
      </c>
      <c r="AK23" s="23">
        <f>AK15</f>
        <v>1103</v>
      </c>
      <c r="AL23" s="24">
        <f t="shared" ref="AL23" si="1">+AJ23-AK23</f>
        <v>0</v>
      </c>
      <c r="AM23" s="25">
        <v>0</v>
      </c>
      <c r="AN23" s="26"/>
      <c r="AO23" s="26"/>
    </row>
    <row r="24" spans="1:41" ht="20.25" thickBot="1">
      <c r="D24" s="227" t="s">
        <v>5</v>
      </c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28"/>
      <c r="Q24" s="228"/>
      <c r="AG24" s="27">
        <v>2025</v>
      </c>
      <c r="AH24" s="28"/>
      <c r="AI24" s="29">
        <f>(AK27-3*AK15)/3/AK15</f>
        <v>3.0499999999999999E-2</v>
      </c>
      <c r="AJ24" s="30">
        <f>+AJ23+AJ23*AI24</f>
        <v>1136.6400000000001</v>
      </c>
      <c r="AK24" s="30">
        <f>+AK23+AK23*AM24</f>
        <v>1136.0899999999999</v>
      </c>
      <c r="AL24" s="31">
        <f>+AJ24-AK24</f>
        <v>0.55000000000000004</v>
      </c>
      <c r="AM24" s="32">
        <f>X43</f>
        <v>0.03</v>
      </c>
      <c r="AN24" s="33" t="s">
        <v>25</v>
      </c>
      <c r="AO24" s="33"/>
    </row>
    <row r="25" spans="1:41" ht="61.5" thickTop="1" thickBot="1">
      <c r="C25" s="5" t="s">
        <v>1</v>
      </c>
      <c r="E25" s="55" t="s">
        <v>33</v>
      </c>
      <c r="F25" s="55" t="s">
        <v>34</v>
      </c>
      <c r="G25" s="55" t="s">
        <v>33</v>
      </c>
      <c r="H25" s="116" t="s">
        <v>34</v>
      </c>
      <c r="I25" s="118" t="s">
        <v>33</v>
      </c>
      <c r="J25" s="117" t="s">
        <v>34</v>
      </c>
      <c r="K25" s="56" t="s">
        <v>35</v>
      </c>
      <c r="M25" s="57" t="s">
        <v>36</v>
      </c>
      <c r="O25" s="57" t="s">
        <v>36</v>
      </c>
      <c r="Q25" s="58" t="s">
        <v>37</v>
      </c>
      <c r="R25" s="59"/>
      <c r="AG25" s="34">
        <v>2026</v>
      </c>
      <c r="AH25" s="35"/>
      <c r="AI25" s="36"/>
      <c r="AJ25" s="37">
        <f>+AJ24</f>
        <v>1136.6400000000001</v>
      </c>
      <c r="AK25" s="37">
        <f>+AK24+AK24*AM25</f>
        <v>1136.0899999999999</v>
      </c>
      <c r="AL25" s="24">
        <f>+AJ25-AK25</f>
        <v>0.55000000000000004</v>
      </c>
      <c r="AM25" s="38">
        <f>X44</f>
        <v>0</v>
      </c>
      <c r="AN25" s="26" t="s">
        <v>25</v>
      </c>
      <c r="AO25" s="26"/>
    </row>
    <row r="26" spans="1:41" ht="21.75" thickBot="1">
      <c r="A26" t="s">
        <v>3</v>
      </c>
      <c r="B26" t="s">
        <v>4</v>
      </c>
      <c r="C26" s="8" t="s">
        <v>5</v>
      </c>
      <c r="D26" s="60" t="s">
        <v>38</v>
      </c>
      <c r="E26" s="61">
        <v>2022</v>
      </c>
      <c r="F26" s="60" t="s">
        <v>38</v>
      </c>
      <c r="G26" s="61">
        <v>2023</v>
      </c>
      <c r="H26" s="62" t="s">
        <v>38</v>
      </c>
      <c r="I26" s="119">
        <v>2024</v>
      </c>
      <c r="J26" s="64"/>
      <c r="K26" s="62" t="s">
        <v>39</v>
      </c>
      <c r="L26" s="63" t="s">
        <v>40</v>
      </c>
      <c r="M26" s="64" t="s">
        <v>38</v>
      </c>
      <c r="N26" s="61">
        <v>2025</v>
      </c>
      <c r="O26" s="60" t="s">
        <v>38</v>
      </c>
      <c r="P26" s="61">
        <v>2026</v>
      </c>
      <c r="Q26" s="65" t="s">
        <v>38</v>
      </c>
      <c r="R26" s="61">
        <v>2027</v>
      </c>
      <c r="AG26" s="66">
        <v>2027</v>
      </c>
      <c r="AH26" s="67"/>
      <c r="AI26" s="68"/>
      <c r="AJ26" s="37">
        <f>+AJ25</f>
        <v>1136.6400000000001</v>
      </c>
      <c r="AK26" s="69">
        <f>+AK25+AK25*AM26</f>
        <v>1136.0899999999999</v>
      </c>
      <c r="AL26" s="70">
        <f>+AJ26-AK26</f>
        <v>0.55000000000000004</v>
      </c>
      <c r="AM26" s="71">
        <f>X45</f>
        <v>0</v>
      </c>
      <c r="AN26" s="72" t="s">
        <v>41</v>
      </c>
      <c r="AO26" s="72"/>
    </row>
    <row r="27" spans="1:41" ht="19.5">
      <c r="A27" s="220" t="s">
        <v>42</v>
      </c>
      <c r="B27" s="73" t="s">
        <v>10</v>
      </c>
      <c r="C27" s="13">
        <f>C11</f>
        <v>29513.4</v>
      </c>
      <c r="D27" s="74">
        <v>0.03</v>
      </c>
      <c r="E27" s="75">
        <v>30398.76</v>
      </c>
      <c r="F27" s="76">
        <f>(G27/E27)-1</f>
        <v>5.0000000000000001E-3</v>
      </c>
      <c r="G27" s="75">
        <v>30550.799999999999</v>
      </c>
      <c r="H27" s="76">
        <f>(I27/G27)-1</f>
        <v>5.0000000000000001E-3</v>
      </c>
      <c r="I27" s="120">
        <v>30703.54</v>
      </c>
      <c r="J27" s="77">
        <f>(I27/C27)-1</f>
        <v>4.0300000000000002E-2</v>
      </c>
      <c r="K27" s="78">
        <v>30703.55</v>
      </c>
      <c r="L27" s="79" t="b">
        <f>I27=K27</f>
        <v>0</v>
      </c>
      <c r="M27" s="80">
        <v>0.05</v>
      </c>
      <c r="N27" s="75">
        <f>I27*M27+I27</f>
        <v>32238.720000000001</v>
      </c>
      <c r="O27" s="80">
        <v>0.05</v>
      </c>
      <c r="P27" s="75">
        <f>N27*O27+N27</f>
        <v>33850.660000000003</v>
      </c>
      <c r="Q27" s="81">
        <v>0.03</v>
      </c>
      <c r="R27" s="82">
        <f>P27*Q27+P27</f>
        <v>34866.18</v>
      </c>
      <c r="S27" s="83" t="s">
        <v>10</v>
      </c>
      <c r="AG27" s="39" t="s">
        <v>29</v>
      </c>
      <c r="AH27" s="40"/>
      <c r="AI27" s="41"/>
      <c r="AJ27" s="42">
        <f>SUM(AJ24:AJ26)</f>
        <v>3409.92</v>
      </c>
      <c r="AK27" s="42">
        <f>SUM(AK24:AK26)</f>
        <v>3408.27</v>
      </c>
      <c r="AL27" s="43">
        <f>SUM(AL24:AL26)</f>
        <v>1.65</v>
      </c>
      <c r="AM27" s="44" t="b">
        <f>AJ27=AK27</f>
        <v>0</v>
      </c>
      <c r="AN27" s="84"/>
      <c r="AO27" s="84"/>
    </row>
    <row r="28" spans="1:41" ht="15.75">
      <c r="A28" s="221"/>
      <c r="B28" s="73" t="s">
        <v>43</v>
      </c>
      <c r="C28" s="13">
        <f>C12</f>
        <v>24917.34</v>
      </c>
      <c r="D28" s="74">
        <v>0.03</v>
      </c>
      <c r="E28" s="85">
        <v>25664.799999999999</v>
      </c>
      <c r="F28" s="76">
        <f t="shared" ref="F28:F33" si="2">(G28/E28)-1</f>
        <v>5.0000000000000001E-3</v>
      </c>
      <c r="G28" s="85">
        <v>25793.18</v>
      </c>
      <c r="H28" s="76">
        <f t="shared" ref="H28:H33" si="3">(I28/G28)-1</f>
        <v>5.0000000000000001E-3</v>
      </c>
      <c r="I28" s="121">
        <v>25922.12</v>
      </c>
      <c r="J28" s="77">
        <f t="shared" ref="J28:J33" si="4">(I28/C28)-1</f>
        <v>4.0300000000000002E-2</v>
      </c>
      <c r="K28" s="78">
        <v>25922.15</v>
      </c>
      <c r="L28" s="79" t="b">
        <f t="shared" ref="L28:L31" si="5">I28=K28</f>
        <v>0</v>
      </c>
      <c r="M28" s="80">
        <v>0.05</v>
      </c>
      <c r="N28" s="85">
        <f t="shared" ref="N28:N32" si="6">I28*M28+I28</f>
        <v>27218.23</v>
      </c>
      <c r="O28" s="80">
        <v>0.05</v>
      </c>
      <c r="P28" s="85">
        <f t="shared" ref="P28:P32" si="7">N28*O28+N28</f>
        <v>28579.14</v>
      </c>
      <c r="Q28" s="81">
        <v>0.03</v>
      </c>
      <c r="R28" s="82">
        <f t="shared" ref="R28:R32" si="8">P28*Q28+P28</f>
        <v>29436.51</v>
      </c>
      <c r="S28" s="83" t="s">
        <v>43</v>
      </c>
    </row>
    <row r="29" spans="1:41" ht="15.75">
      <c r="A29" s="220" t="s">
        <v>44</v>
      </c>
      <c r="B29" s="86" t="s">
        <v>45</v>
      </c>
      <c r="C29" s="13">
        <f>C13</f>
        <v>23023.84</v>
      </c>
      <c r="D29" s="74">
        <v>0.03</v>
      </c>
      <c r="E29" s="85">
        <v>23714.6</v>
      </c>
      <c r="F29" s="76">
        <f t="shared" si="2"/>
        <v>0.04</v>
      </c>
      <c r="G29" s="85">
        <v>24663.1</v>
      </c>
      <c r="H29" s="76">
        <f t="shared" si="3"/>
        <v>5.9999999999999995E-4</v>
      </c>
      <c r="I29" s="121">
        <v>24677.8</v>
      </c>
      <c r="J29" s="77">
        <f t="shared" si="4"/>
        <v>7.1800000000000003E-2</v>
      </c>
      <c r="K29" s="78">
        <v>24677.81</v>
      </c>
      <c r="L29" s="79" t="b">
        <f t="shared" si="5"/>
        <v>0</v>
      </c>
      <c r="M29" s="80">
        <v>0.05</v>
      </c>
      <c r="N29" s="85">
        <f t="shared" si="6"/>
        <v>25911.69</v>
      </c>
      <c r="O29" s="80">
        <v>0.05</v>
      </c>
      <c r="P29" s="85">
        <f t="shared" si="7"/>
        <v>27207.27</v>
      </c>
      <c r="Q29" s="81">
        <v>0.03</v>
      </c>
      <c r="R29" s="82">
        <f t="shared" si="8"/>
        <v>28023.49</v>
      </c>
      <c r="S29" s="83" t="s">
        <v>45</v>
      </c>
    </row>
    <row r="30" spans="1:41" ht="19.5">
      <c r="A30" s="221" t="s">
        <v>44</v>
      </c>
      <c r="B30" s="87" t="s">
        <v>46</v>
      </c>
      <c r="C30" s="13">
        <f>C14</f>
        <v>20639.22</v>
      </c>
      <c r="D30" s="74">
        <v>0.03</v>
      </c>
      <c r="E30" s="85">
        <v>21258.44</v>
      </c>
      <c r="F30" s="76">
        <f t="shared" si="2"/>
        <v>6.5000000000000002E-2</v>
      </c>
      <c r="G30" s="85">
        <v>22640.240000000002</v>
      </c>
      <c r="H30" s="76">
        <f t="shared" si="3"/>
        <v>0.09</v>
      </c>
      <c r="I30" s="121">
        <v>24677.8</v>
      </c>
      <c r="J30" s="77">
        <f t="shared" si="4"/>
        <v>0.19570000000000001</v>
      </c>
      <c r="K30" s="78">
        <v>24677.81</v>
      </c>
      <c r="L30" s="79" t="b">
        <f t="shared" si="5"/>
        <v>0</v>
      </c>
      <c r="M30" s="80">
        <v>0.05</v>
      </c>
      <c r="N30" s="85">
        <f t="shared" si="6"/>
        <v>25911.69</v>
      </c>
      <c r="O30" s="80">
        <v>0.05</v>
      </c>
      <c r="P30" s="85">
        <f t="shared" si="7"/>
        <v>27207.27</v>
      </c>
      <c r="Q30" s="81">
        <v>0.03</v>
      </c>
      <c r="R30" s="82">
        <f t="shared" si="8"/>
        <v>28023.49</v>
      </c>
      <c r="S30" s="88" t="s">
        <v>46</v>
      </c>
      <c r="AG30" t="s">
        <v>47</v>
      </c>
      <c r="AI30" s="89">
        <f>AI14+AI24</f>
        <v>0.10680000000000001</v>
      </c>
      <c r="AJ30" s="42">
        <f>AJ16+AJ27</f>
        <v>5562.52</v>
      </c>
      <c r="AK30" s="42">
        <f>AK16+AK27</f>
        <v>5560.77</v>
      </c>
      <c r="AM30" s="89" t="s">
        <v>48</v>
      </c>
      <c r="AN30" s="90"/>
    </row>
    <row r="31" spans="1:41" ht="15.75">
      <c r="A31" s="220" t="s">
        <v>49</v>
      </c>
      <c r="B31" s="73" t="s">
        <v>50</v>
      </c>
      <c r="C31" s="13">
        <f>C15</f>
        <v>18239.900000000001</v>
      </c>
      <c r="D31" s="74">
        <v>0.03</v>
      </c>
      <c r="E31" s="85">
        <v>18787.16</v>
      </c>
      <c r="F31" s="76">
        <f t="shared" si="2"/>
        <v>0.08</v>
      </c>
      <c r="G31" s="85">
        <v>20290.060000000001</v>
      </c>
      <c r="H31" s="76">
        <f t="shared" si="3"/>
        <v>0.1</v>
      </c>
      <c r="I31" s="121">
        <v>22319.08</v>
      </c>
      <c r="J31" s="77">
        <f t="shared" si="4"/>
        <v>0.22359999999999999</v>
      </c>
      <c r="K31" s="78">
        <v>22319.07</v>
      </c>
      <c r="L31" s="79" t="b">
        <f t="shared" si="5"/>
        <v>0</v>
      </c>
      <c r="M31" s="80">
        <v>0.05</v>
      </c>
      <c r="N31" s="85">
        <f t="shared" si="6"/>
        <v>23435.03</v>
      </c>
      <c r="O31" s="80">
        <v>0.05</v>
      </c>
      <c r="P31" s="85">
        <f t="shared" si="7"/>
        <v>24606.78</v>
      </c>
      <c r="Q31" s="81">
        <v>0.03</v>
      </c>
      <c r="R31" s="82">
        <f t="shared" si="8"/>
        <v>25344.98</v>
      </c>
      <c r="S31" s="83" t="s">
        <v>50</v>
      </c>
    </row>
    <row r="32" spans="1:41" ht="15.75">
      <c r="A32" s="221" t="s">
        <v>49</v>
      </c>
      <c r="B32" s="73" t="s">
        <v>51</v>
      </c>
      <c r="C32" s="13">
        <f>C15</f>
        <v>18239.900000000001</v>
      </c>
      <c r="D32" s="74">
        <v>0.03</v>
      </c>
      <c r="E32" s="85">
        <v>18787.16</v>
      </c>
      <c r="F32" s="76">
        <f t="shared" si="2"/>
        <v>0.02</v>
      </c>
      <c r="G32" s="85">
        <v>19162.78</v>
      </c>
      <c r="H32" s="76">
        <f t="shared" si="3"/>
        <v>0.02</v>
      </c>
      <c r="I32" s="121">
        <v>19546.099999999999</v>
      </c>
      <c r="J32" s="77">
        <f t="shared" si="4"/>
        <v>7.1599999999999997E-2</v>
      </c>
      <c r="K32" s="78">
        <v>19546.099999999999</v>
      </c>
      <c r="L32" s="79" t="b">
        <f>I32=K32</f>
        <v>1</v>
      </c>
      <c r="M32" s="80">
        <v>0.05</v>
      </c>
      <c r="N32" s="85">
        <f t="shared" si="6"/>
        <v>20523.41</v>
      </c>
      <c r="O32" s="80">
        <v>0.05</v>
      </c>
      <c r="P32" s="85">
        <f t="shared" si="7"/>
        <v>21549.58</v>
      </c>
      <c r="Q32" s="81">
        <v>0.03</v>
      </c>
      <c r="R32" s="82">
        <f t="shared" si="8"/>
        <v>22196.07</v>
      </c>
      <c r="S32" s="83" t="s">
        <v>51</v>
      </c>
    </row>
    <row r="33" spans="1:30" ht="16.5" thickBot="1">
      <c r="A33" s="91" t="s">
        <v>52</v>
      </c>
      <c r="B33" s="73" t="s">
        <v>53</v>
      </c>
      <c r="C33" s="13">
        <f>C16</f>
        <v>14554.4</v>
      </c>
      <c r="D33" s="74">
        <v>0.03</v>
      </c>
      <c r="E33" s="92">
        <v>14991.06</v>
      </c>
      <c r="F33" s="76">
        <f t="shared" si="2"/>
        <v>0.05</v>
      </c>
      <c r="G33" s="92">
        <v>15740.62</v>
      </c>
      <c r="H33" s="76">
        <f t="shared" si="3"/>
        <v>0.08</v>
      </c>
      <c r="I33" s="122">
        <v>16999.78</v>
      </c>
      <c r="J33" s="77">
        <f t="shared" si="4"/>
        <v>0.16800000000000001</v>
      </c>
      <c r="K33" s="78">
        <v>16999.830000000002</v>
      </c>
      <c r="L33" s="93" t="b">
        <f>I33=K33</f>
        <v>0</v>
      </c>
      <c r="M33" s="80">
        <v>0.05</v>
      </c>
      <c r="N33" s="92">
        <f>I33*M33+I33</f>
        <v>17849.77</v>
      </c>
      <c r="O33" s="80">
        <v>0.05</v>
      </c>
      <c r="P33" s="92">
        <f>N33*O33+N33</f>
        <v>18742.259999999998</v>
      </c>
      <c r="Q33" s="94">
        <v>0.03</v>
      </c>
      <c r="R33" s="95">
        <f>P33*Q33+P33</f>
        <v>19304.53</v>
      </c>
      <c r="S33" s="83" t="s">
        <v>53</v>
      </c>
    </row>
    <row r="34" spans="1:30" ht="15.75">
      <c r="E34" s="96"/>
      <c r="I34" t="s">
        <v>122</v>
      </c>
    </row>
    <row r="35" spans="1:30" ht="15.75" thickBot="1">
      <c r="I35" s="1">
        <f>1134*14</f>
        <v>15876</v>
      </c>
    </row>
    <row r="36" spans="1:30" ht="21.75" thickBot="1">
      <c r="C36" s="1"/>
      <c r="E36" s="230" t="s">
        <v>54</v>
      </c>
      <c r="F36" s="231"/>
      <c r="G36" s="231"/>
      <c r="H36" s="231"/>
      <c r="I36" s="231"/>
      <c r="J36" s="231"/>
      <c r="K36" s="231"/>
      <c r="L36" s="231"/>
      <c r="M36" s="231"/>
      <c r="Q36" s="6" t="s">
        <v>2</v>
      </c>
      <c r="R36" s="222" t="str">
        <f>B27</f>
        <v>DIRECCIÓ</v>
      </c>
      <c r="S36" s="222"/>
      <c r="T36" s="222"/>
      <c r="U36" s="222"/>
      <c r="V36" s="222"/>
      <c r="W36" s="222"/>
      <c r="X36" s="223"/>
    </row>
    <row r="37" spans="1:30">
      <c r="E37" s="9" t="s">
        <v>6</v>
      </c>
      <c r="F37" s="9"/>
      <c r="G37" s="9" t="s">
        <v>7</v>
      </c>
      <c r="H37" s="9"/>
      <c r="I37" s="9"/>
      <c r="J37" s="10"/>
      <c r="K37" s="9" t="s">
        <v>8</v>
      </c>
      <c r="R37" s="9" t="s">
        <v>6</v>
      </c>
      <c r="S37" s="9"/>
      <c r="T37" s="9" t="s">
        <v>7</v>
      </c>
      <c r="U37" s="9"/>
      <c r="V37" s="9"/>
      <c r="W37" s="10"/>
      <c r="X37" s="9" t="s">
        <v>8</v>
      </c>
      <c r="AB37" t="s">
        <v>55</v>
      </c>
    </row>
    <row r="38" spans="1:30">
      <c r="E38" s="14"/>
      <c r="J38" s="15"/>
      <c r="K38" s="16"/>
      <c r="R38" s="14"/>
      <c r="W38" s="15"/>
      <c r="X38" s="16"/>
    </row>
    <row r="39" spans="1:30">
      <c r="B39" s="97"/>
      <c r="E39" s="49" t="s">
        <v>13</v>
      </c>
      <c r="F39" s="50" t="s">
        <v>14</v>
      </c>
      <c r="G39" s="51" t="s">
        <v>15</v>
      </c>
      <c r="H39" s="51" t="s">
        <v>16</v>
      </c>
      <c r="I39" s="51" t="s">
        <v>17</v>
      </c>
      <c r="J39" s="52" t="s">
        <v>18</v>
      </c>
      <c r="K39" s="53" t="s">
        <v>19</v>
      </c>
      <c r="L39" s="54" t="s">
        <v>20</v>
      </c>
      <c r="M39" s="54" t="s">
        <v>21</v>
      </c>
      <c r="R39" s="49" t="s">
        <v>13</v>
      </c>
      <c r="S39" s="50" t="s">
        <v>14</v>
      </c>
      <c r="T39" s="51" t="s">
        <v>15</v>
      </c>
      <c r="U39" s="51" t="s">
        <v>16</v>
      </c>
      <c r="V39" s="51" t="s">
        <v>17</v>
      </c>
      <c r="W39" s="52" t="s">
        <v>18</v>
      </c>
      <c r="X39" s="53" t="s">
        <v>19</v>
      </c>
      <c r="Y39" s="54" t="s">
        <v>20</v>
      </c>
      <c r="Z39" s="54" t="s">
        <v>56</v>
      </c>
      <c r="AB39" s="98">
        <v>29513.4</v>
      </c>
      <c r="AC39" s="1">
        <f>AB39*T41+AB39</f>
        <v>32347.57</v>
      </c>
      <c r="AD39" s="99">
        <f>AC39*5</f>
        <v>161737.85</v>
      </c>
    </row>
    <row r="40" spans="1:30">
      <c r="B40" s="97"/>
      <c r="E40" s="49"/>
      <c r="F40" s="50"/>
      <c r="G40" s="51">
        <v>0</v>
      </c>
      <c r="H40" s="100">
        <f>K27</f>
        <v>30703.55</v>
      </c>
      <c r="I40" s="100">
        <v>30703.55</v>
      </c>
      <c r="J40" s="52">
        <f>+H40-I40</f>
        <v>0</v>
      </c>
      <c r="K40" s="53">
        <v>0</v>
      </c>
      <c r="L40" s="84"/>
      <c r="M40" s="84"/>
      <c r="R40" s="49"/>
      <c r="S40" s="50"/>
      <c r="T40" s="51">
        <v>0</v>
      </c>
      <c r="U40" s="123">
        <v>1000</v>
      </c>
      <c r="V40" s="2">
        <f>Tabla145152751[[#This Row],[PAGAMENT]]</f>
        <v>1000</v>
      </c>
      <c r="W40" s="52">
        <f t="shared" ref="W40:W43" si="9">+U40-V40</f>
        <v>0</v>
      </c>
      <c r="X40" s="53">
        <v>0</v>
      </c>
      <c r="Y40" s="84"/>
      <c r="Z40" s="84"/>
      <c r="AB40" s="1"/>
      <c r="AC40" s="1"/>
      <c r="AD40" s="1"/>
    </row>
    <row r="41" spans="1:30" ht="19.5">
      <c r="B41" s="1">
        <f>$C$27*3.515858%+$C$27</f>
        <v>30551.05</v>
      </c>
      <c r="C41" s="1">
        <f>C27*Tabla14515275112[[#This Row],[SUPOSIT increment %]]+C27</f>
        <v>30989.07</v>
      </c>
      <c r="E41" s="101">
        <v>2025</v>
      </c>
      <c r="F41" s="102"/>
      <c r="G41" s="89">
        <f>(I44-(H40*3))/3/H40</f>
        <v>9.6030000000000004E-2</v>
      </c>
      <c r="H41" s="103">
        <f>H40*Tabla14515275112[[#This Row],[increment]]+H40</f>
        <v>33652.01</v>
      </c>
      <c r="I41" s="104">
        <f>+I40+I40*K41</f>
        <v>32238.727999999999</v>
      </c>
      <c r="J41" s="52">
        <f>+H41-I41</f>
        <v>1413.28</v>
      </c>
      <c r="K41" s="32">
        <f>M27</f>
        <v>0.05</v>
      </c>
      <c r="L41" s="84" t="s">
        <v>25</v>
      </c>
      <c r="M41" s="84"/>
      <c r="R41" s="101">
        <v>2025</v>
      </c>
      <c r="S41" s="102"/>
      <c r="T41" s="89">
        <f>(V46-3000)/3/1000</f>
        <v>9.6030000000000004E-2</v>
      </c>
      <c r="U41" s="105">
        <f>U40*Tabla145152751[[#This Row],[increment]]+U40</f>
        <v>1096.03</v>
      </c>
      <c r="V41" s="105">
        <f>+V40+V40*X41</f>
        <v>1050</v>
      </c>
      <c r="W41" s="52">
        <f t="shared" si="9"/>
        <v>46.03</v>
      </c>
      <c r="X41" s="32">
        <v>0.05</v>
      </c>
      <c r="Y41" s="84" t="s">
        <v>25</v>
      </c>
      <c r="Z41" s="84">
        <v>2025</v>
      </c>
      <c r="AB41" s="1">
        <f>AB39*X41+AB39</f>
        <v>30989.07</v>
      </c>
      <c r="AC41" s="1"/>
      <c r="AD41" s="1"/>
    </row>
    <row r="42" spans="1:30">
      <c r="B42" s="1">
        <f t="shared" ref="B42:B43" si="10">$C$27*3.515858%+$C$27</f>
        <v>30551.05</v>
      </c>
      <c r="C42" s="1">
        <f>C41*Tabla14515275112[[#This Row],[SUPOSIT increment %]]+C41</f>
        <v>32538.52</v>
      </c>
      <c r="E42" s="101">
        <v>2026</v>
      </c>
      <c r="F42" s="102"/>
      <c r="G42" s="106"/>
      <c r="H42" s="103">
        <f>H41</f>
        <v>33652.01</v>
      </c>
      <c r="I42" s="104">
        <f>+I41+I41*K42</f>
        <v>33850.663999999997</v>
      </c>
      <c r="J42" s="52">
        <f>+H42-I42</f>
        <v>-198.65</v>
      </c>
      <c r="K42" s="32">
        <f>O27</f>
        <v>0.05</v>
      </c>
      <c r="L42" s="84" t="s">
        <v>25</v>
      </c>
      <c r="M42" s="84"/>
      <c r="R42" s="101">
        <v>2026</v>
      </c>
      <c r="S42" s="102"/>
      <c r="T42" s="106"/>
      <c r="U42" s="105">
        <f>U41</f>
        <v>1096.03</v>
      </c>
      <c r="V42" s="105">
        <f>+V41+V41*X42</f>
        <v>1102.5</v>
      </c>
      <c r="W42" s="52">
        <f t="shared" si="9"/>
        <v>-6.47</v>
      </c>
      <c r="X42" s="32">
        <v>0.05</v>
      </c>
      <c r="Y42" s="84" t="s">
        <v>25</v>
      </c>
      <c r="Z42" s="84">
        <v>2026</v>
      </c>
      <c r="AB42" s="1">
        <f>AB41*X42+AB41</f>
        <v>32538.52</v>
      </c>
      <c r="AC42" s="1"/>
      <c r="AD42" s="1"/>
    </row>
    <row r="43" spans="1:30">
      <c r="B43" s="1">
        <f t="shared" si="10"/>
        <v>30551.05</v>
      </c>
      <c r="C43" s="1">
        <f>C42*Tabla14515275112[[#This Row],[SUPOSIT increment %]]+C42</f>
        <v>33514.68</v>
      </c>
      <c r="E43" s="101">
        <v>2027</v>
      </c>
      <c r="F43" s="102"/>
      <c r="G43" s="107"/>
      <c r="H43" s="103">
        <f>H42</f>
        <v>33652.01</v>
      </c>
      <c r="I43" s="104">
        <f>+I42+I42*K43</f>
        <v>34866.184000000001</v>
      </c>
      <c r="J43" s="52">
        <f>+H43-I43</f>
        <v>-1214.17</v>
      </c>
      <c r="K43" s="32">
        <f>Q27</f>
        <v>0.03</v>
      </c>
      <c r="L43" s="84" t="s">
        <v>25</v>
      </c>
      <c r="M43" s="84"/>
      <c r="R43" s="101">
        <v>2027</v>
      </c>
      <c r="S43" s="102"/>
      <c r="T43" s="107"/>
      <c r="U43" s="105">
        <f>U42</f>
        <v>1096.03</v>
      </c>
      <c r="V43" s="105">
        <f>+V42+V42*X43</f>
        <v>1135.58</v>
      </c>
      <c r="W43" s="52">
        <f t="shared" si="9"/>
        <v>-39.549999999999997</v>
      </c>
      <c r="X43" s="32">
        <v>0.03</v>
      </c>
      <c r="Y43" s="84" t="s">
        <v>41</v>
      </c>
      <c r="Z43" s="84">
        <v>2027</v>
      </c>
      <c r="AB43" s="1">
        <f>AB42*Tabla145152751[[#This Row],[SUPOSIT increment %]]+AB42</f>
        <v>33514.68</v>
      </c>
      <c r="AC43" s="1"/>
      <c r="AD43" s="1"/>
    </row>
    <row r="44" spans="1:30" ht="19.5">
      <c r="B44" s="108">
        <f>SUM(B41:B43)</f>
        <v>91653.15</v>
      </c>
      <c r="C44" s="109">
        <f>SUM(C41:C43)</f>
        <v>97042.27</v>
      </c>
      <c r="E44" s="39" t="s">
        <v>29</v>
      </c>
      <c r="F44" s="40"/>
      <c r="G44" s="41"/>
      <c r="H44" s="43">
        <f>SUM(H41:H43)</f>
        <v>100956.03</v>
      </c>
      <c r="I44" s="43">
        <f>SUM(I41:I43)</f>
        <v>100955.576</v>
      </c>
      <c r="J44" s="43">
        <f>SUM(J41:J43)</f>
        <v>0.46</v>
      </c>
      <c r="K44" s="44" t="b">
        <f>Tabla14515275112[[#This Row],[PAGAMENT]]=Tabla14515275112[[#This Row],[COST]]</f>
        <v>0</v>
      </c>
      <c r="L44" s="84"/>
      <c r="M44" s="84"/>
      <c r="R44" s="101"/>
      <c r="S44" s="102"/>
      <c r="T44" s="110"/>
      <c r="U44" s="105"/>
      <c r="V44" s="105"/>
      <c r="W44" s="52"/>
      <c r="X44" s="32"/>
      <c r="Y44" s="84"/>
      <c r="Z44" s="84"/>
      <c r="AB44" s="1">
        <f>AB43*Tabla145152751[[#This Row],[SUPOSIT increment %]]+AB43</f>
        <v>33514.68</v>
      </c>
      <c r="AC44" s="1"/>
      <c r="AD44" s="1"/>
    </row>
    <row r="45" spans="1:30">
      <c r="E45" s="101"/>
      <c r="F45" s="102"/>
      <c r="G45" s="110"/>
      <c r="H45" s="110"/>
      <c r="I45" s="110"/>
      <c r="J45" s="111"/>
      <c r="K45" s="112"/>
      <c r="L45" s="84"/>
      <c r="M45" s="84"/>
      <c r="R45" s="101"/>
      <c r="S45" s="102"/>
      <c r="T45" s="110"/>
      <c r="U45" s="105"/>
      <c r="V45" s="105"/>
      <c r="W45" s="52"/>
      <c r="X45" s="113"/>
      <c r="Y45" s="84"/>
      <c r="Z45" s="84"/>
      <c r="AB45" s="1">
        <f>AB44*Tabla145152751[[#This Row],[SUPOSIT increment %]]+AB44</f>
        <v>33514.68</v>
      </c>
      <c r="AC45" s="1"/>
      <c r="AD45" s="1"/>
    </row>
    <row r="46" spans="1:30" ht="19.5">
      <c r="E46" s="101"/>
      <c r="F46" s="102"/>
      <c r="G46" s="110"/>
      <c r="H46" s="110"/>
      <c r="I46" s="110"/>
      <c r="J46" s="111"/>
      <c r="K46" s="112"/>
      <c r="L46" s="84"/>
      <c r="M46" s="84"/>
      <c r="R46" s="39" t="s">
        <v>29</v>
      </c>
      <c r="S46" s="40"/>
      <c r="T46" s="41"/>
      <c r="U46" s="42">
        <f>SUM(U41:U43)</f>
        <v>3288.09</v>
      </c>
      <c r="V46" s="42">
        <f>SUM(V41:V43)</f>
        <v>3288.08</v>
      </c>
      <c r="W46" s="43">
        <f>SUM(W41:W43)</f>
        <v>0.01</v>
      </c>
      <c r="X46" s="44" t="b">
        <f>Tabla145152751[[#This Row],[PAGAMENT]]=Tabla145152751[[#This Row],[COST]]</f>
        <v>0</v>
      </c>
      <c r="Y46" s="84"/>
      <c r="Z46" s="84"/>
      <c r="AB46" s="99">
        <f>SUM(AB41:AB45)</f>
        <v>164071.63</v>
      </c>
      <c r="AC46" s="1"/>
      <c r="AD46" s="1" t="b">
        <f>AB46=AD39</f>
        <v>0</v>
      </c>
    </row>
    <row r="47" spans="1:30">
      <c r="E47" s="101"/>
      <c r="F47" s="102"/>
      <c r="G47" s="110"/>
      <c r="H47" s="110"/>
      <c r="I47" s="110"/>
      <c r="J47" s="111"/>
      <c r="K47" s="112"/>
      <c r="L47" s="84"/>
      <c r="M47" s="84"/>
      <c r="R47" s="101"/>
      <c r="S47" s="102"/>
      <c r="T47" s="110"/>
      <c r="U47" s="110"/>
      <c r="V47" s="110"/>
      <c r="W47" s="111"/>
      <c r="X47" s="112"/>
      <c r="Y47" s="84"/>
      <c r="Z47" s="84"/>
      <c r="AB47" s="1"/>
      <c r="AC47" s="1"/>
      <c r="AD47" s="1"/>
    </row>
    <row r="48" spans="1:30" ht="15.75" thickBot="1">
      <c r="E48" s="101"/>
      <c r="F48" s="102"/>
      <c r="G48" s="110"/>
      <c r="H48" s="110"/>
      <c r="I48" s="110"/>
      <c r="J48" s="111"/>
      <c r="K48" s="112"/>
      <c r="L48" s="84"/>
      <c r="M48" s="84"/>
    </row>
    <row r="49" spans="17:26" ht="21.75" thickBot="1">
      <c r="Q49" s="6" t="s">
        <v>2</v>
      </c>
      <c r="R49" s="229" t="str">
        <f>B28</f>
        <v>SOTSDIRECCIÓ</v>
      </c>
      <c r="S49" s="222"/>
      <c r="T49" s="222"/>
      <c r="U49" s="222"/>
      <c r="V49" s="222"/>
      <c r="W49" s="222"/>
      <c r="X49" s="223"/>
    </row>
    <row r="50" spans="17:26">
      <c r="R50" s="9" t="s">
        <v>6</v>
      </c>
      <c r="S50" s="9"/>
      <c r="T50" s="9" t="s">
        <v>7</v>
      </c>
      <c r="U50" s="9"/>
      <c r="V50" s="9"/>
      <c r="W50" s="10"/>
      <c r="X50" s="9" t="s">
        <v>8</v>
      </c>
    </row>
    <row r="51" spans="17:26">
      <c r="R51" s="14"/>
      <c r="W51" s="15"/>
      <c r="X51" s="16"/>
    </row>
    <row r="52" spans="17:26">
      <c r="R52" s="49" t="s">
        <v>13</v>
      </c>
      <c r="S52" s="50" t="s">
        <v>14</v>
      </c>
      <c r="T52" s="51" t="s">
        <v>15</v>
      </c>
      <c r="U52" s="51" t="s">
        <v>16</v>
      </c>
      <c r="V52" s="51" t="s">
        <v>17</v>
      </c>
      <c r="W52" s="52" t="s">
        <v>18</v>
      </c>
      <c r="X52" s="53" t="s">
        <v>19</v>
      </c>
      <c r="Y52" s="54" t="s">
        <v>20</v>
      </c>
      <c r="Z52" s="54" t="s">
        <v>58</v>
      </c>
    </row>
    <row r="53" spans="17:26">
      <c r="R53" s="49"/>
      <c r="S53" s="50"/>
      <c r="T53" s="51">
        <v>0</v>
      </c>
      <c r="U53" s="51">
        <v>1000</v>
      </c>
      <c r="V53" s="51">
        <v>1000</v>
      </c>
      <c r="W53" s="52">
        <f t="shared" ref="W53:W56" si="11">+U53-V53</f>
        <v>0</v>
      </c>
      <c r="X53" s="53">
        <v>0</v>
      </c>
      <c r="Y53" s="84"/>
      <c r="Z53" s="84"/>
    </row>
    <row r="54" spans="17:26" ht="19.5">
      <c r="R54" s="101">
        <v>2025</v>
      </c>
      <c r="S54" s="102"/>
      <c r="T54" s="89">
        <f ca="1">(V57-3000)/3/1000</f>
        <v>9.6019999999999994E-2</v>
      </c>
      <c r="U54" s="103">
        <f ca="1">+U53+U53*Tabla1451527514[[#This Row],[increment]]</f>
        <v>0</v>
      </c>
      <c r="V54" s="104">
        <f>+V53+V53*X54</f>
        <v>1050</v>
      </c>
      <c r="W54" s="52">
        <f t="shared" ca="1" si="11"/>
        <v>46.02</v>
      </c>
      <c r="X54" s="32">
        <v>0.05</v>
      </c>
      <c r="Y54" s="84" t="s">
        <v>25</v>
      </c>
      <c r="Z54" s="84">
        <v>2025</v>
      </c>
    </row>
    <row r="55" spans="17:26">
      <c r="R55" s="101">
        <v>2026</v>
      </c>
      <c r="S55" s="102"/>
      <c r="T55" s="106"/>
      <c r="U55" s="103">
        <f ca="1">+U54</f>
        <v>1096.02</v>
      </c>
      <c r="V55" s="104">
        <f>+V54+V54*X55</f>
        <v>1102.5</v>
      </c>
      <c r="W55" s="52">
        <f t="shared" ca="1" si="11"/>
        <v>-6.48</v>
      </c>
      <c r="X55" s="32">
        <v>0.05</v>
      </c>
      <c r="Y55" s="84" t="s">
        <v>25</v>
      </c>
      <c r="Z55" s="84">
        <v>2026</v>
      </c>
    </row>
    <row r="56" spans="17:26">
      <c r="R56" s="101">
        <v>2027</v>
      </c>
      <c r="S56" s="102"/>
      <c r="T56" s="107"/>
      <c r="U56" s="103">
        <f ca="1">+U54</f>
        <v>1096.02</v>
      </c>
      <c r="V56" s="104">
        <f>+V55+V55*X56</f>
        <v>1135.575</v>
      </c>
      <c r="W56" s="52">
        <f t="shared" ca="1" si="11"/>
        <v>-39.56</v>
      </c>
      <c r="X56" s="32">
        <v>0.03</v>
      </c>
      <c r="Y56" s="84" t="s">
        <v>25</v>
      </c>
      <c r="Z56" s="84">
        <v>2027</v>
      </c>
    </row>
    <row r="57" spans="17:26" ht="19.5">
      <c r="R57" s="39" t="s">
        <v>29</v>
      </c>
      <c r="S57" s="40"/>
      <c r="T57" s="41"/>
      <c r="U57" s="43">
        <f ca="1">SUM(U54:U59)</f>
        <v>3288.06</v>
      </c>
      <c r="V57" s="43">
        <f ca="1">SUM(V54:V59)</f>
        <v>3288.0749999999998</v>
      </c>
      <c r="W57" s="43">
        <f ca="1">SUM(W54:W59)</f>
        <v>-0.02</v>
      </c>
      <c r="X57" s="44" t="b">
        <f ca="1">Tabla1451527514[[#This Row],[PAGAMENT]]=Tabla1451527514[[#This Row],[COST]]</f>
        <v>0</v>
      </c>
      <c r="Y57" s="84"/>
      <c r="Z57" s="84"/>
    </row>
    <row r="58" spans="17:26">
      <c r="R58" s="101"/>
      <c r="S58" s="102"/>
      <c r="T58" s="110"/>
      <c r="U58" s="103"/>
      <c r="V58" s="104"/>
      <c r="W58" s="52"/>
      <c r="X58" s="32"/>
      <c r="Y58" s="84"/>
      <c r="Z58" s="84"/>
    </row>
    <row r="59" spans="17:26">
      <c r="R59" s="101"/>
      <c r="S59" s="102"/>
      <c r="T59" s="110"/>
      <c r="U59" s="103"/>
      <c r="V59" s="104"/>
      <c r="W59" s="52"/>
      <c r="X59" s="113"/>
      <c r="Y59" s="84"/>
      <c r="Z59" s="84"/>
    </row>
    <row r="60" spans="17:26">
      <c r="R60" s="101"/>
      <c r="S60" s="102"/>
      <c r="T60" s="110"/>
      <c r="U60" s="110"/>
      <c r="V60" s="110"/>
      <c r="W60" s="111"/>
      <c r="X60" s="112"/>
      <c r="Y60" s="84"/>
      <c r="Z60" s="84"/>
    </row>
    <row r="61" spans="17:26" ht="15.75" thickBot="1"/>
    <row r="62" spans="17:26" ht="21.75" thickBot="1">
      <c r="Q62" s="6" t="s">
        <v>59</v>
      </c>
      <c r="R62" s="229" t="str">
        <f>B29</f>
        <v>LLICENCIATS (a extingir)</v>
      </c>
      <c r="S62" s="222"/>
      <c r="T62" s="222"/>
      <c r="U62" s="222"/>
      <c r="V62" s="222"/>
      <c r="W62" s="222"/>
      <c r="X62" s="223"/>
    </row>
    <row r="63" spans="17:26">
      <c r="R63" s="9" t="s">
        <v>6</v>
      </c>
      <c r="S63" s="9"/>
      <c r="T63" s="9" t="s">
        <v>7</v>
      </c>
      <c r="U63" s="9"/>
      <c r="V63" s="9"/>
      <c r="W63" s="10"/>
      <c r="X63" s="9" t="s">
        <v>8</v>
      </c>
    </row>
    <row r="64" spans="17:26">
      <c r="R64" s="14"/>
      <c r="W64" s="15"/>
      <c r="X64" s="16"/>
    </row>
    <row r="65" spans="17:26">
      <c r="R65" s="49" t="s">
        <v>13</v>
      </c>
      <c r="S65" s="50" t="s">
        <v>14</v>
      </c>
      <c r="T65" s="51" t="s">
        <v>15</v>
      </c>
      <c r="U65" s="51" t="s">
        <v>16</v>
      </c>
      <c r="V65" s="51" t="s">
        <v>17</v>
      </c>
      <c r="W65" s="52" t="s">
        <v>18</v>
      </c>
      <c r="X65" s="53" t="s">
        <v>19</v>
      </c>
      <c r="Y65" s="54" t="s">
        <v>20</v>
      </c>
      <c r="Z65" s="54" t="s">
        <v>58</v>
      </c>
    </row>
    <row r="66" spans="17:26">
      <c r="R66" s="49"/>
      <c r="S66" s="50"/>
      <c r="T66" s="51">
        <v>0</v>
      </c>
      <c r="U66" s="2">
        <v>1000</v>
      </c>
      <c r="V66" s="2">
        <v>1000</v>
      </c>
      <c r="W66" s="52">
        <f t="shared" ref="W66:W69" si="12">+U66-V66</f>
        <v>0</v>
      </c>
      <c r="X66" s="53">
        <v>0</v>
      </c>
      <c r="Y66" s="84"/>
      <c r="Z66" s="84"/>
    </row>
    <row r="67" spans="17:26" ht="19.5">
      <c r="R67" s="101">
        <v>2025</v>
      </c>
      <c r="S67" s="102"/>
      <c r="T67" s="89">
        <f>(V72-3000)/3/1000</f>
        <v>9.6019999999999994E-2</v>
      </c>
      <c r="U67" s="103">
        <f>+U66+U66*Tabla14515275145[[#This Row],[increment]]</f>
        <v>1096.02</v>
      </c>
      <c r="V67" s="104">
        <f>+V66+V66*X67</f>
        <v>1050</v>
      </c>
      <c r="W67" s="52">
        <f t="shared" si="12"/>
        <v>46.02</v>
      </c>
      <c r="X67" s="32">
        <v>0.05</v>
      </c>
      <c r="Y67" s="84" t="s">
        <v>25</v>
      </c>
      <c r="Z67" s="84">
        <v>2025</v>
      </c>
    </row>
    <row r="68" spans="17:26">
      <c r="R68" s="101">
        <v>2026</v>
      </c>
      <c r="S68" s="102"/>
      <c r="T68" s="106"/>
      <c r="U68" s="103">
        <f>+U67</f>
        <v>1096.02</v>
      </c>
      <c r="V68" s="104">
        <f>+V67+V67*X68</f>
        <v>1102.5</v>
      </c>
      <c r="W68" s="52">
        <f t="shared" si="12"/>
        <v>-6.48</v>
      </c>
      <c r="X68" s="32">
        <v>0.05</v>
      </c>
      <c r="Y68" s="84" t="s">
        <v>25</v>
      </c>
      <c r="Z68" s="84">
        <v>2026</v>
      </c>
    </row>
    <row r="69" spans="17:26">
      <c r="R69" s="101">
        <v>2027</v>
      </c>
      <c r="S69" s="102"/>
      <c r="T69" s="107"/>
      <c r="U69" s="103">
        <f>+U67</f>
        <v>1096.02</v>
      </c>
      <c r="V69" s="104">
        <f>+V68+V68*X69</f>
        <v>1135.575</v>
      </c>
      <c r="W69" s="52">
        <f t="shared" si="12"/>
        <v>-39.56</v>
      </c>
      <c r="X69" s="32">
        <v>0.03</v>
      </c>
      <c r="Y69" s="84" t="s">
        <v>41</v>
      </c>
      <c r="Z69" s="84">
        <v>2027</v>
      </c>
    </row>
    <row r="70" spans="17:26">
      <c r="R70" s="101"/>
      <c r="S70" s="102"/>
      <c r="T70" s="110"/>
      <c r="U70" s="103"/>
      <c r="V70" s="104"/>
      <c r="W70" s="52"/>
      <c r="X70" s="32"/>
      <c r="Y70" s="84"/>
      <c r="Z70" s="84"/>
    </row>
    <row r="71" spans="17:26">
      <c r="R71" s="101"/>
      <c r="S71" s="102"/>
      <c r="T71" s="110"/>
      <c r="U71" s="103"/>
      <c r="V71" s="104"/>
      <c r="W71" s="52"/>
      <c r="X71" s="113"/>
      <c r="Y71" s="84"/>
      <c r="Z71" s="84"/>
    </row>
    <row r="72" spans="17:26" ht="19.5">
      <c r="R72" s="39" t="s">
        <v>29</v>
      </c>
      <c r="S72" s="40"/>
      <c r="T72" s="41"/>
      <c r="U72" s="43">
        <f>SUM(U67:U69)</f>
        <v>3288.06</v>
      </c>
      <c r="V72" s="43">
        <f>SUM(V67:V69)</f>
        <v>3288.0749999999998</v>
      </c>
      <c r="W72" s="43">
        <f>SUM(W67:W69)</f>
        <v>-0.02</v>
      </c>
      <c r="X72" s="44" t="b">
        <f>Tabla14515275145[[#This Row],[PAGAMENT]]=Tabla14515275145[[#This Row],[COST]]</f>
        <v>0</v>
      </c>
      <c r="Y72" s="84"/>
      <c r="Z72" s="84"/>
    </row>
    <row r="73" spans="17:26">
      <c r="R73" s="101"/>
      <c r="S73" s="102"/>
      <c r="T73" s="110"/>
      <c r="U73" s="110"/>
      <c r="V73" s="110"/>
      <c r="W73" s="111"/>
      <c r="X73" s="112"/>
      <c r="Y73" s="84"/>
      <c r="Z73" s="84"/>
    </row>
    <row r="74" spans="17:26" ht="15.75" thickBot="1"/>
    <row r="75" spans="17:26" ht="21.75" thickBot="1">
      <c r="Q75" s="6" t="s">
        <v>59</v>
      </c>
      <c r="R75" s="229" t="str">
        <f>B30</f>
        <v>TECNIC SUPERIOR GRADUAT (actual diplomat)</v>
      </c>
      <c r="S75" s="222"/>
      <c r="T75" s="222"/>
      <c r="U75" s="222"/>
      <c r="V75" s="222"/>
      <c r="W75" s="222"/>
      <c r="X75" s="223"/>
    </row>
    <row r="76" spans="17:26">
      <c r="R76" s="9" t="s">
        <v>6</v>
      </c>
      <c r="S76" s="9"/>
      <c r="T76" s="9" t="s">
        <v>7</v>
      </c>
      <c r="U76" s="9"/>
      <c r="V76" s="9"/>
      <c r="W76" s="10"/>
      <c r="X76" s="9" t="s">
        <v>8</v>
      </c>
    </row>
    <row r="77" spans="17:26">
      <c r="R77" s="14"/>
      <c r="W77" s="15"/>
      <c r="X77" s="16"/>
    </row>
    <row r="78" spans="17:26">
      <c r="R78" s="49" t="s">
        <v>13</v>
      </c>
      <c r="S78" s="50" t="s">
        <v>14</v>
      </c>
      <c r="T78" s="51" t="s">
        <v>15</v>
      </c>
      <c r="U78" s="51" t="s">
        <v>16</v>
      </c>
      <c r="V78" s="51" t="s">
        <v>17</v>
      </c>
      <c r="W78" s="52" t="s">
        <v>18</v>
      </c>
      <c r="X78" s="53" t="s">
        <v>19</v>
      </c>
      <c r="Y78" s="54" t="s">
        <v>20</v>
      </c>
      <c r="Z78" s="54" t="s">
        <v>58</v>
      </c>
    </row>
    <row r="79" spans="17:26">
      <c r="R79" s="49"/>
      <c r="S79" s="50"/>
      <c r="T79" s="51">
        <v>0</v>
      </c>
      <c r="U79" s="51">
        <v>1000</v>
      </c>
      <c r="V79" s="51">
        <v>1000</v>
      </c>
      <c r="W79" s="52">
        <f t="shared" ref="W79:W82" si="13">+U79-V79</f>
        <v>0</v>
      </c>
      <c r="X79" s="53">
        <v>0</v>
      </c>
      <c r="Y79" s="84"/>
      <c r="Z79" s="84"/>
    </row>
    <row r="80" spans="17:26" ht="19.5">
      <c r="R80" s="101">
        <v>2025</v>
      </c>
      <c r="S80" s="102"/>
      <c r="T80" s="89">
        <f>(V85-3000)/3/1000</f>
        <v>9.6019999999999994E-2</v>
      </c>
      <c r="U80" s="103">
        <f>+U79+U79*Tabla145152751456[[#This Row],[increment]]</f>
        <v>1096.02</v>
      </c>
      <c r="V80" s="104">
        <f>+V79+V79*X80</f>
        <v>1050</v>
      </c>
      <c r="W80" s="52">
        <f t="shared" si="13"/>
        <v>46.02</v>
      </c>
      <c r="X80" s="32">
        <v>0.05</v>
      </c>
      <c r="Y80" s="84" t="s">
        <v>25</v>
      </c>
      <c r="Z80" s="84">
        <v>2025</v>
      </c>
    </row>
    <row r="81" spans="6:26">
      <c r="R81" s="101">
        <v>2026</v>
      </c>
      <c r="S81" s="102"/>
      <c r="T81" s="106"/>
      <c r="U81" s="103">
        <f>+U80</f>
        <v>1096.02</v>
      </c>
      <c r="V81" s="104">
        <f>+V80+V80*X81</f>
        <v>1102.5</v>
      </c>
      <c r="W81" s="52">
        <f t="shared" si="13"/>
        <v>-6.48</v>
      </c>
      <c r="X81" s="32">
        <v>0.05</v>
      </c>
      <c r="Y81" s="84" t="s">
        <v>25</v>
      </c>
      <c r="Z81" s="84">
        <v>2026</v>
      </c>
    </row>
    <row r="82" spans="6:26">
      <c r="R82" s="101">
        <v>2027</v>
      </c>
      <c r="S82" s="102"/>
      <c r="T82" s="107"/>
      <c r="U82" s="103">
        <f>+U80</f>
        <v>1096.02</v>
      </c>
      <c r="V82" s="104">
        <f>+V81+V81*X82</f>
        <v>1135.575</v>
      </c>
      <c r="W82" s="52">
        <f t="shared" si="13"/>
        <v>-39.56</v>
      </c>
      <c r="X82" s="32">
        <v>0.03</v>
      </c>
      <c r="Y82" s="84" t="s">
        <v>41</v>
      </c>
      <c r="Z82" s="84">
        <v>2027</v>
      </c>
    </row>
    <row r="83" spans="6:26">
      <c r="R83" s="101"/>
      <c r="S83" s="102"/>
      <c r="T83" s="110"/>
      <c r="U83" s="103"/>
      <c r="V83" s="104"/>
      <c r="W83" s="52"/>
      <c r="X83" s="32"/>
      <c r="Y83" s="84"/>
      <c r="Z83" s="84"/>
    </row>
    <row r="84" spans="6:26">
      <c r="R84" s="101"/>
      <c r="S84" s="102"/>
      <c r="T84" s="110"/>
      <c r="U84" s="103"/>
      <c r="V84" s="104"/>
      <c r="W84" s="52"/>
      <c r="X84" s="113"/>
      <c r="Y84" s="84"/>
      <c r="Z84" s="84"/>
    </row>
    <row r="85" spans="6:26" ht="19.5">
      <c r="R85" s="39" t="s">
        <v>29</v>
      </c>
      <c r="S85" s="40"/>
      <c r="T85" s="41"/>
      <c r="U85" s="43">
        <f>SUM(U80:U84)</f>
        <v>3288.06</v>
      </c>
      <c r="V85" s="43">
        <f>SUM(V80:V84)</f>
        <v>3288.0749999999998</v>
      </c>
      <c r="W85" s="43">
        <f>SUM(W80:W84)</f>
        <v>-0.02</v>
      </c>
      <c r="X85" s="44" t="b">
        <f>Tabla145152751456[[#This Row],[PAGAMENT]]=Tabla145152751456[[#This Row],[COST]]</f>
        <v>0</v>
      </c>
      <c r="Y85" s="84"/>
      <c r="Z85" s="84"/>
    </row>
    <row r="86" spans="6:26">
      <c r="R86" s="101"/>
      <c r="S86" s="102"/>
      <c r="T86" s="110"/>
      <c r="U86" s="110"/>
      <c r="V86" s="110"/>
      <c r="W86" s="111"/>
      <c r="X86" s="112"/>
      <c r="Y86" s="84"/>
      <c r="Z86" s="84"/>
    </row>
    <row r="87" spans="6:26" ht="15.75" thickBot="1">
      <c r="F87" s="114"/>
      <c r="G87" s="115"/>
      <c r="H87" s="115"/>
      <c r="I87" s="114"/>
    </row>
    <row r="88" spans="6:26" ht="21.75" thickBot="1">
      <c r="F88" s="114"/>
      <c r="G88" s="115"/>
      <c r="H88" s="115"/>
      <c r="I88" s="114"/>
      <c r="Q88" s="6" t="s">
        <v>60</v>
      </c>
      <c r="R88" s="229" t="str">
        <f>B31</f>
        <v>PERSONAL TÈCNIC SUPERIOR (Integradors socials, cicle formatiu de grau superior)</v>
      </c>
      <c r="S88" s="222"/>
      <c r="T88" s="222"/>
      <c r="U88" s="222"/>
      <c r="V88" s="222"/>
      <c r="W88" s="222"/>
      <c r="X88" s="223"/>
    </row>
    <row r="89" spans="6:26">
      <c r="F89" s="114"/>
      <c r="G89" s="115"/>
      <c r="H89" s="115"/>
      <c r="I89" s="114"/>
      <c r="R89" s="9" t="s">
        <v>6</v>
      </c>
      <c r="S89" s="9"/>
      <c r="T89" s="9" t="s">
        <v>7</v>
      </c>
      <c r="U89" s="9"/>
      <c r="V89" s="9"/>
      <c r="W89" s="10"/>
      <c r="X89" s="9" t="s">
        <v>8</v>
      </c>
    </row>
    <row r="90" spans="6:26">
      <c r="F90" s="114"/>
      <c r="G90" s="115"/>
      <c r="H90" s="115"/>
      <c r="I90" s="114"/>
      <c r="R90" s="14"/>
      <c r="W90" s="15"/>
      <c r="X90" s="16"/>
    </row>
    <row r="91" spans="6:26">
      <c r="F91" s="114"/>
      <c r="G91" s="115"/>
      <c r="H91" s="115"/>
      <c r="I91" s="114"/>
      <c r="R91" s="49" t="s">
        <v>13</v>
      </c>
      <c r="S91" s="50" t="s">
        <v>14</v>
      </c>
      <c r="T91" s="51" t="s">
        <v>15</v>
      </c>
      <c r="U91" s="51" t="s">
        <v>16</v>
      </c>
      <c r="V91" s="51" t="s">
        <v>17</v>
      </c>
      <c r="W91" s="52" t="s">
        <v>18</v>
      </c>
      <c r="X91" s="53" t="s">
        <v>19</v>
      </c>
      <c r="Y91" s="54" t="s">
        <v>20</v>
      </c>
      <c r="Z91" s="54" t="s">
        <v>58</v>
      </c>
    </row>
    <row r="92" spans="6:26">
      <c r="F92" s="114"/>
      <c r="G92" s="115"/>
      <c r="H92" s="115"/>
      <c r="I92" s="114"/>
      <c r="R92" s="49"/>
      <c r="S92" s="50"/>
      <c r="T92" s="51">
        <v>0</v>
      </c>
      <c r="U92" s="51">
        <v>1000</v>
      </c>
      <c r="V92" s="51">
        <v>1000</v>
      </c>
      <c r="W92" s="52">
        <f t="shared" ref="W92:W97" si="14">+U92-V92</f>
        <v>0</v>
      </c>
      <c r="X92" s="53">
        <v>0</v>
      </c>
      <c r="Y92" s="84"/>
      <c r="Z92" s="84"/>
    </row>
    <row r="93" spans="6:26" ht="19.5">
      <c r="F93" s="114"/>
      <c r="G93" s="115"/>
      <c r="H93" s="115"/>
      <c r="I93" s="114"/>
      <c r="R93" s="101">
        <v>2023</v>
      </c>
      <c r="S93" s="102"/>
      <c r="T93" s="89">
        <f>(V98-5000)/5/1000</f>
        <v>0.26915</v>
      </c>
      <c r="U93" s="103">
        <f>+U92+U92*Tabla1451527514569[[#This Row],[increment]]</f>
        <v>1269.1500000000001</v>
      </c>
      <c r="V93" s="104">
        <f>+V92+V92*X93</f>
        <v>1110</v>
      </c>
      <c r="W93" s="52">
        <f t="shared" si="14"/>
        <v>159.15</v>
      </c>
      <c r="X93" s="32">
        <f>D31+F31</f>
        <v>0.11</v>
      </c>
      <c r="Y93" s="84" t="s">
        <v>25</v>
      </c>
      <c r="Z93" s="84" t="s">
        <v>57</v>
      </c>
    </row>
    <row r="94" spans="6:26">
      <c r="R94" s="101">
        <v>2024</v>
      </c>
      <c r="S94" s="102" t="s">
        <v>61</v>
      </c>
      <c r="T94" s="106"/>
      <c r="U94" s="103">
        <f>+U93</f>
        <v>1269.1500000000001</v>
      </c>
      <c r="V94" s="104">
        <f>+V93+V93*X94</f>
        <v>1221</v>
      </c>
      <c r="W94" s="52">
        <f t="shared" si="14"/>
        <v>48.15</v>
      </c>
      <c r="X94" s="32">
        <f>H31</f>
        <v>0.1</v>
      </c>
      <c r="Y94" s="84" t="s">
        <v>25</v>
      </c>
      <c r="Z94" s="84">
        <v>2024</v>
      </c>
    </row>
    <row r="95" spans="6:26">
      <c r="R95" s="101">
        <v>2025</v>
      </c>
      <c r="S95" s="102"/>
      <c r="T95" s="107"/>
      <c r="U95" s="103">
        <f>+U93</f>
        <v>1269.1500000000001</v>
      </c>
      <c r="V95" s="104">
        <f>+V94+V94*X95</f>
        <v>1282.05</v>
      </c>
      <c r="W95" s="52">
        <f t="shared" si="14"/>
        <v>-12.9</v>
      </c>
      <c r="X95" s="32">
        <f>M31</f>
        <v>0.05</v>
      </c>
      <c r="Y95" s="84" t="s">
        <v>25</v>
      </c>
      <c r="Z95" s="84">
        <v>2025</v>
      </c>
    </row>
    <row r="96" spans="6:26">
      <c r="R96" s="101">
        <v>2026</v>
      </c>
      <c r="S96" s="102"/>
      <c r="T96" s="110"/>
      <c r="U96" s="103">
        <f>+U95</f>
        <v>1269.1500000000001</v>
      </c>
      <c r="V96" s="104">
        <f>+V95+V95*X96</f>
        <v>1346.153</v>
      </c>
      <c r="W96" s="52">
        <f t="shared" si="14"/>
        <v>-77</v>
      </c>
      <c r="X96" s="32">
        <f>O31</f>
        <v>0.05</v>
      </c>
      <c r="Y96" s="84" t="s">
        <v>25</v>
      </c>
      <c r="Z96" s="84">
        <v>2026</v>
      </c>
    </row>
    <row r="97" spans="17:26">
      <c r="R97" s="101">
        <v>2027</v>
      </c>
      <c r="S97" s="102"/>
      <c r="T97" s="110"/>
      <c r="U97" s="103">
        <f>+U93</f>
        <v>1269.1500000000001</v>
      </c>
      <c r="V97" s="104">
        <f>+V96+V96*X97</f>
        <v>1386.538</v>
      </c>
      <c r="W97" s="52">
        <f t="shared" si="14"/>
        <v>-117.39</v>
      </c>
      <c r="X97" s="113">
        <f>Q31</f>
        <v>0.03</v>
      </c>
      <c r="Y97" s="84" t="s">
        <v>41</v>
      </c>
      <c r="Z97" s="84">
        <v>2027</v>
      </c>
    </row>
    <row r="98" spans="17:26" ht="19.5">
      <c r="R98" s="39" t="s">
        <v>29</v>
      </c>
      <c r="S98" s="40"/>
      <c r="T98" s="41"/>
      <c r="U98" s="43">
        <f>SUM(U93:U97)</f>
        <v>6345.75</v>
      </c>
      <c r="V98" s="43">
        <f>SUM(V93:V97)</f>
        <v>6345.741</v>
      </c>
      <c r="W98" s="43">
        <f>SUM(W93:W97)</f>
        <v>0.01</v>
      </c>
      <c r="X98" s="44" t="b">
        <f>Tabla1451527514569[[#This Row],[PAGAMENT]]=Tabla1451527514569[[#This Row],[COST]]</f>
        <v>0</v>
      </c>
      <c r="Y98" s="84"/>
      <c r="Z98" s="84"/>
    </row>
    <row r="99" spans="17:26">
      <c r="R99" s="101"/>
      <c r="S99" s="102"/>
      <c r="T99" s="110"/>
      <c r="U99" s="110"/>
      <c r="V99" s="110"/>
      <c r="W99" s="111"/>
      <c r="X99" s="112"/>
      <c r="Y99" s="84"/>
      <c r="Z99" s="84"/>
    </row>
    <row r="100" spans="17:26" ht="15.75" thickBot="1"/>
    <row r="101" spans="17:26" ht="21.75" thickBot="1">
      <c r="Q101" s="6" t="s">
        <v>60</v>
      </c>
      <c r="R101" s="229" t="str">
        <f>B32</f>
        <v>PERSONAL TÈCNIC (cicle formatiu grau mig)</v>
      </c>
      <c r="S101" s="222"/>
      <c r="T101" s="222"/>
      <c r="U101" s="222"/>
      <c r="V101" s="222"/>
      <c r="W101" s="222"/>
      <c r="X101" s="223"/>
    </row>
    <row r="102" spans="17:26">
      <c r="R102" s="9" t="s">
        <v>6</v>
      </c>
      <c r="S102" s="9"/>
      <c r="T102" s="9" t="s">
        <v>7</v>
      </c>
      <c r="U102" s="9"/>
      <c r="V102" s="9"/>
      <c r="W102" s="10"/>
      <c r="X102" s="9" t="s">
        <v>8</v>
      </c>
    </row>
    <row r="103" spans="17:26">
      <c r="R103" s="14"/>
      <c r="W103" s="15"/>
      <c r="X103" s="16"/>
    </row>
    <row r="104" spans="17:26">
      <c r="R104" s="49" t="s">
        <v>13</v>
      </c>
      <c r="S104" s="50" t="s">
        <v>14</v>
      </c>
      <c r="T104" s="51" t="s">
        <v>15</v>
      </c>
      <c r="U104" s="51" t="s">
        <v>16</v>
      </c>
      <c r="V104" s="51" t="s">
        <v>17</v>
      </c>
      <c r="W104" s="52" t="s">
        <v>18</v>
      </c>
      <c r="X104" s="53" t="s">
        <v>19</v>
      </c>
      <c r="Y104" s="54" t="s">
        <v>20</v>
      </c>
      <c r="Z104" s="54" t="s">
        <v>58</v>
      </c>
    </row>
    <row r="105" spans="17:26">
      <c r="R105" s="49"/>
      <c r="S105" s="50"/>
      <c r="T105" s="51">
        <v>0</v>
      </c>
      <c r="U105" s="51">
        <v>1000</v>
      </c>
      <c r="V105" s="51">
        <v>1000</v>
      </c>
      <c r="W105" s="52">
        <f t="shared" ref="W105:W108" si="15">+U105-V105</f>
        <v>0</v>
      </c>
      <c r="X105" s="53">
        <v>0</v>
      </c>
      <c r="Y105" s="84"/>
      <c r="Z105" s="84"/>
    </row>
    <row r="106" spans="17:26" ht="19.5">
      <c r="R106" s="101">
        <v>2025</v>
      </c>
      <c r="S106" s="102"/>
      <c r="T106" s="89">
        <f>(V111-3000)/3/1000</f>
        <v>9.6019999999999994E-2</v>
      </c>
      <c r="U106" s="103">
        <f>+U105+U105*Tabla14515275145610[[#This Row],[increment]]</f>
        <v>1096.02</v>
      </c>
      <c r="V106" s="104">
        <f>+V105+V105*X106</f>
        <v>1050</v>
      </c>
      <c r="W106" s="52">
        <f t="shared" si="15"/>
        <v>46.02</v>
      </c>
      <c r="X106" s="32">
        <v>0.05</v>
      </c>
      <c r="Y106" s="84" t="s">
        <v>25</v>
      </c>
      <c r="Z106" s="84">
        <v>2025</v>
      </c>
    </row>
    <row r="107" spans="17:26">
      <c r="R107" s="101">
        <v>2026</v>
      </c>
      <c r="S107" s="102" t="s">
        <v>61</v>
      </c>
      <c r="T107" s="106"/>
      <c r="U107" s="103">
        <f>+U106</f>
        <v>1096.02</v>
      </c>
      <c r="V107" s="104">
        <f>+V106+V106*X107</f>
        <v>1102.5</v>
      </c>
      <c r="W107" s="52">
        <f t="shared" si="15"/>
        <v>-6.48</v>
      </c>
      <c r="X107" s="32">
        <v>0.05</v>
      </c>
      <c r="Y107" s="84" t="s">
        <v>25</v>
      </c>
      <c r="Z107" s="84">
        <v>2026</v>
      </c>
    </row>
    <row r="108" spans="17:26">
      <c r="R108" s="101">
        <v>2027</v>
      </c>
      <c r="S108" s="102"/>
      <c r="T108" s="107"/>
      <c r="U108" s="103">
        <f>+U106</f>
        <v>1096.02</v>
      </c>
      <c r="V108" s="104">
        <f>+V107+V107*X108</f>
        <v>1135.575</v>
      </c>
      <c r="W108" s="52">
        <f t="shared" si="15"/>
        <v>-39.56</v>
      </c>
      <c r="X108" s="32">
        <v>0.03</v>
      </c>
      <c r="Y108" s="84" t="s">
        <v>41</v>
      </c>
      <c r="Z108" s="84">
        <v>2027</v>
      </c>
    </row>
    <row r="109" spans="17:26">
      <c r="R109" s="101"/>
      <c r="S109" s="102"/>
      <c r="T109" s="110"/>
      <c r="U109" s="103"/>
      <c r="V109" s="104"/>
      <c r="W109" s="52"/>
      <c r="X109" s="32"/>
      <c r="Y109" s="84"/>
      <c r="Z109" s="84"/>
    </row>
    <row r="110" spans="17:26">
      <c r="R110" s="101"/>
      <c r="S110" s="102"/>
      <c r="T110" s="110"/>
      <c r="U110" s="103"/>
      <c r="V110" s="104"/>
      <c r="W110" s="52"/>
      <c r="X110" s="113"/>
      <c r="Y110" s="84"/>
      <c r="Z110" s="84"/>
    </row>
    <row r="111" spans="17:26" ht="19.5">
      <c r="R111" s="39" t="s">
        <v>29</v>
      </c>
      <c r="S111" s="40"/>
      <c r="T111" s="41"/>
      <c r="U111" s="43">
        <f>SUM(U106:U110)</f>
        <v>3288.06</v>
      </c>
      <c r="V111" s="43">
        <f>SUM(V106:V110)</f>
        <v>3288.0749999999998</v>
      </c>
      <c r="W111" s="43">
        <f>SUM(W106:W110)</f>
        <v>-0.02</v>
      </c>
      <c r="X111" s="44" t="b">
        <f>Tabla14515275145610[[#This Row],[PAGAMENT]]=Tabla14515275145610[[#This Row],[COST]]</f>
        <v>0</v>
      </c>
      <c r="Y111" s="84"/>
      <c r="Z111" s="84"/>
    </row>
    <row r="112" spans="17:26">
      <c r="R112" s="101"/>
      <c r="S112" s="102"/>
      <c r="T112" s="110"/>
      <c r="U112" s="110"/>
      <c r="V112" s="110"/>
      <c r="W112" s="111"/>
      <c r="X112" s="112"/>
      <c r="Y112" s="84"/>
      <c r="Z112" s="84"/>
    </row>
    <row r="113" spans="17:26" ht="15.75" thickBot="1"/>
    <row r="114" spans="17:26" ht="21.75" thickBot="1">
      <c r="Q114" s="6" t="s">
        <v>62</v>
      </c>
      <c r="R114" s="229" t="str">
        <f>B33</f>
        <v>PERSONAL DE SERVEIS (telefonista, personal de neteja,ordenances, conserge, etc)</v>
      </c>
      <c r="S114" s="222"/>
      <c r="T114" s="222"/>
      <c r="U114" s="222"/>
      <c r="V114" s="222"/>
      <c r="W114" s="222"/>
      <c r="X114" s="223"/>
    </row>
    <row r="115" spans="17:26">
      <c r="R115" s="9" t="s">
        <v>6</v>
      </c>
      <c r="S115" s="9"/>
      <c r="T115" s="9" t="s">
        <v>7</v>
      </c>
      <c r="U115" s="9"/>
      <c r="V115" s="9"/>
      <c r="W115" s="10"/>
      <c r="X115" s="9" t="s">
        <v>8</v>
      </c>
    </row>
    <row r="116" spans="17:26">
      <c r="R116" s="14"/>
      <c r="W116" s="15"/>
      <c r="X116" s="16"/>
    </row>
    <row r="117" spans="17:26">
      <c r="R117" s="49" t="s">
        <v>13</v>
      </c>
      <c r="S117" s="50" t="s">
        <v>14</v>
      </c>
      <c r="T117" s="51" t="s">
        <v>15</v>
      </c>
      <c r="U117" s="51" t="s">
        <v>16</v>
      </c>
      <c r="V117" s="51" t="s">
        <v>17</v>
      </c>
      <c r="W117" s="52" t="s">
        <v>18</v>
      </c>
      <c r="X117" s="53" t="s">
        <v>19</v>
      </c>
      <c r="Y117" s="54" t="s">
        <v>20</v>
      </c>
      <c r="Z117" s="54" t="s">
        <v>58</v>
      </c>
    </row>
    <row r="118" spans="17:26">
      <c r="R118" s="49"/>
      <c r="S118" s="50"/>
      <c r="T118" s="51">
        <v>0</v>
      </c>
      <c r="U118" s="51">
        <v>1000</v>
      </c>
      <c r="V118" s="51">
        <v>1000</v>
      </c>
      <c r="W118" s="52">
        <f t="shared" ref="W118:W123" si="16">+U118-V118</f>
        <v>0</v>
      </c>
      <c r="X118" s="53">
        <v>0</v>
      </c>
      <c r="Y118" s="84"/>
      <c r="Z118" s="84"/>
    </row>
    <row r="119" spans="17:26" ht="19.5">
      <c r="R119" s="101">
        <v>2023</v>
      </c>
      <c r="S119" s="102"/>
      <c r="T119" s="89">
        <f>(V124-5000)/5/1000</f>
        <v>0.21632000000000001</v>
      </c>
      <c r="U119" s="103">
        <f>+U118+U118*Tabla14515275145611[[#This Row],[increment]]</f>
        <v>1216.32</v>
      </c>
      <c r="V119" s="104">
        <f>+V118+V118*X119</f>
        <v>1080</v>
      </c>
      <c r="W119" s="52">
        <f t="shared" si="16"/>
        <v>136.32</v>
      </c>
      <c r="X119" s="32">
        <f>D33+F33</f>
        <v>0.08</v>
      </c>
      <c r="Y119" s="84" t="s">
        <v>25</v>
      </c>
      <c r="Z119" s="84" t="s">
        <v>57</v>
      </c>
    </row>
    <row r="120" spans="17:26">
      <c r="R120" s="101">
        <v>2024</v>
      </c>
      <c r="S120" s="102" t="s">
        <v>61</v>
      </c>
      <c r="T120" s="106"/>
      <c r="U120" s="103">
        <f>+U119</f>
        <v>1216.32</v>
      </c>
      <c r="V120" s="104">
        <f>+V119+V119*X120</f>
        <v>1166.4000000000001</v>
      </c>
      <c r="W120" s="52">
        <f t="shared" si="16"/>
        <v>49.92</v>
      </c>
      <c r="X120" s="32">
        <f>H33</f>
        <v>0.08</v>
      </c>
      <c r="Y120" s="84" t="s">
        <v>25</v>
      </c>
      <c r="Z120" s="84">
        <v>2024</v>
      </c>
    </row>
    <row r="121" spans="17:26">
      <c r="R121" s="101">
        <v>2025</v>
      </c>
      <c r="S121" s="102"/>
      <c r="T121" s="107"/>
      <c r="U121" s="103">
        <f>+U119</f>
        <v>1216.32</v>
      </c>
      <c r="V121" s="104">
        <f>+V120+V120*X121</f>
        <v>1224.72</v>
      </c>
      <c r="W121" s="52">
        <f t="shared" si="16"/>
        <v>-8.4</v>
      </c>
      <c r="X121" s="32">
        <f>M33</f>
        <v>0.05</v>
      </c>
      <c r="Y121" s="84" t="s">
        <v>25</v>
      </c>
      <c r="Z121" s="84">
        <v>2025</v>
      </c>
    </row>
    <row r="122" spans="17:26">
      <c r="R122" s="101">
        <v>2026</v>
      </c>
      <c r="S122" s="102"/>
      <c r="T122" s="110"/>
      <c r="U122" s="103">
        <f>+U121</f>
        <v>1216.32</v>
      </c>
      <c r="V122" s="104">
        <f>+V121+V121*X122</f>
        <v>1285.9559999999999</v>
      </c>
      <c r="W122" s="52">
        <f t="shared" si="16"/>
        <v>-69.64</v>
      </c>
      <c r="X122" s="32">
        <f>O33</f>
        <v>0.05</v>
      </c>
      <c r="Y122" s="84" t="s">
        <v>25</v>
      </c>
      <c r="Z122" s="84">
        <v>2026</v>
      </c>
    </row>
    <row r="123" spans="17:26">
      <c r="R123" s="101">
        <v>2027</v>
      </c>
      <c r="S123" s="102"/>
      <c r="T123" s="110"/>
      <c r="U123" s="103">
        <f>+U119</f>
        <v>1216.32</v>
      </c>
      <c r="V123" s="104">
        <f>+V122+V122*X123</f>
        <v>1324.5350000000001</v>
      </c>
      <c r="W123" s="52">
        <f t="shared" si="16"/>
        <v>-108.22</v>
      </c>
      <c r="X123" s="113">
        <f>Q33</f>
        <v>0.03</v>
      </c>
      <c r="Y123" s="84" t="s">
        <v>41</v>
      </c>
      <c r="Z123" s="84">
        <v>2027</v>
      </c>
    </row>
    <row r="124" spans="17:26" ht="19.5">
      <c r="R124" s="39" t="s">
        <v>29</v>
      </c>
      <c r="S124" s="40"/>
      <c r="T124" s="41"/>
      <c r="U124" s="43">
        <f>SUM(U119:U123)</f>
        <v>6081.6</v>
      </c>
      <c r="V124" s="43">
        <f>SUM(V119:V123)</f>
        <v>6081.6109999999999</v>
      </c>
      <c r="W124" s="43">
        <f>SUM(W119:W123)</f>
        <v>-0.02</v>
      </c>
      <c r="X124" s="44" t="b">
        <f>Tabla14515275145611[[#This Row],[PAGAMENT]]=Tabla14515275145611[[#This Row],[COST]]</f>
        <v>0</v>
      </c>
      <c r="Y124" s="84"/>
      <c r="Z124" s="84"/>
    </row>
    <row r="125" spans="17:26">
      <c r="R125" s="101"/>
      <c r="S125" s="102"/>
      <c r="T125" s="110"/>
      <c r="U125" s="110"/>
      <c r="V125" s="110"/>
      <c r="W125" s="111"/>
      <c r="X125" s="112"/>
      <c r="Y125" s="84"/>
      <c r="Z125" s="84"/>
    </row>
  </sheetData>
  <mergeCells count="15">
    <mergeCell ref="R88:X88"/>
    <mergeCell ref="R101:X101"/>
    <mergeCell ref="R114:X114"/>
    <mergeCell ref="A31:A32"/>
    <mergeCell ref="E36:M36"/>
    <mergeCell ref="R36:X36"/>
    <mergeCell ref="R49:X49"/>
    <mergeCell ref="R62:X62"/>
    <mergeCell ref="R75:X75"/>
    <mergeCell ref="A29:A30"/>
    <mergeCell ref="AG9:AM9"/>
    <mergeCell ref="AG19:AM19"/>
    <mergeCell ref="D22:Q22"/>
    <mergeCell ref="D24:Q24"/>
    <mergeCell ref="A27:A28"/>
  </mergeCells>
  <pageMargins left="0.7" right="0.7" top="0.75" bottom="0.75" header="0.3" footer="0.3"/>
  <customProperties>
    <customPr name="EpmWorksheetKeyString_GUID" r:id="rId1"/>
  </customProperties>
  <drawing r:id="rId2"/>
  <tableParts count="8"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27"/>
  <sheetViews>
    <sheetView tabSelected="1" topLeftCell="D1" zoomScaleNormal="100" workbookViewId="0">
      <selection activeCell="I13" sqref="I13"/>
    </sheetView>
  </sheetViews>
  <sheetFormatPr defaultRowHeight="15"/>
  <cols>
    <col min="3" max="3" width="96.85546875" customWidth="1"/>
    <col min="4" max="4" width="13.85546875" customWidth="1"/>
    <col min="5" max="5" width="17.5703125" bestFit="1" customWidth="1"/>
    <col min="6" max="6" width="20.140625" customWidth="1"/>
    <col min="7" max="7" width="16.140625" bestFit="1" customWidth="1"/>
    <col min="8" max="8" width="29.42578125" customWidth="1"/>
    <col min="9" max="9" width="26.42578125" customWidth="1"/>
    <col min="11" max="11" width="6.28515625" customWidth="1"/>
    <col min="12" max="12" width="12.140625" hidden="1" customWidth="1"/>
  </cols>
  <sheetData>
    <row r="1" spans="1:12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2" ht="15.75" thickBot="1">
      <c r="A2" s="208"/>
      <c r="B2" s="209"/>
      <c r="C2" s="209"/>
      <c r="D2" s="209"/>
      <c r="E2" s="209"/>
      <c r="F2" s="209"/>
      <c r="G2" s="209"/>
      <c r="H2" s="209"/>
      <c r="I2" s="209"/>
      <c r="J2" s="209"/>
      <c r="K2" s="208"/>
    </row>
    <row r="3" spans="1:12" ht="46.5" customHeight="1" thickBot="1">
      <c r="A3" s="208"/>
      <c r="B3" s="209"/>
      <c r="C3" s="232" t="s">
        <v>121</v>
      </c>
      <c r="D3" s="233"/>
      <c r="E3" s="233"/>
      <c r="F3" s="233"/>
      <c r="G3" s="234"/>
      <c r="H3" s="209"/>
      <c r="I3" s="209"/>
      <c r="J3" s="209"/>
      <c r="K3" s="208"/>
    </row>
    <row r="4" spans="1:12">
      <c r="A4" s="208"/>
      <c r="B4" s="144"/>
      <c r="C4" s="144"/>
      <c r="D4" s="144"/>
      <c r="E4" s="144"/>
      <c r="F4" s="144"/>
      <c r="G4" s="144"/>
      <c r="H4" s="144"/>
      <c r="I4" s="209"/>
      <c r="J4" s="209"/>
      <c r="K4" s="208"/>
    </row>
    <row r="5" spans="1:12" ht="26.25">
      <c r="A5" s="208"/>
      <c r="B5" s="144"/>
      <c r="C5" s="185" t="s">
        <v>125</v>
      </c>
      <c r="D5" s="124"/>
      <c r="E5" s="124"/>
      <c r="F5" s="124"/>
      <c r="G5" s="125"/>
      <c r="H5" s="209"/>
      <c r="I5" s="209"/>
      <c r="J5" s="209"/>
      <c r="K5" s="208"/>
    </row>
    <row r="6" spans="1:12" ht="15.75" thickBot="1">
      <c r="A6" s="208"/>
      <c r="B6" s="209"/>
      <c r="C6" s="124"/>
      <c r="D6" s="124"/>
      <c r="E6" s="124"/>
      <c r="F6" s="124"/>
      <c r="G6" s="125"/>
      <c r="H6" s="124"/>
      <c r="I6" s="124"/>
      <c r="J6" s="209"/>
      <c r="K6" s="208"/>
      <c r="L6" s="213"/>
    </row>
    <row r="7" spans="1:12" ht="31.5" customHeight="1" thickBot="1">
      <c r="A7" s="208"/>
      <c r="B7" s="209"/>
      <c r="C7" s="186" t="s">
        <v>63</v>
      </c>
      <c r="D7" s="187" t="s">
        <v>64</v>
      </c>
      <c r="E7" s="188" t="s">
        <v>65</v>
      </c>
      <c r="F7" s="188" t="s">
        <v>66</v>
      </c>
      <c r="G7" s="189" t="s">
        <v>67</v>
      </c>
      <c r="H7" s="188" t="s">
        <v>68</v>
      </c>
      <c r="I7" s="190" t="s">
        <v>69</v>
      </c>
      <c r="J7" s="209"/>
      <c r="K7" s="208"/>
      <c r="L7" s="213"/>
    </row>
    <row r="8" spans="1:12" ht="40.5" customHeight="1" thickBot="1">
      <c r="A8" s="208"/>
      <c r="B8" s="209"/>
      <c r="C8" s="126" t="s">
        <v>70</v>
      </c>
      <c r="D8" s="127" t="s">
        <v>71</v>
      </c>
      <c r="E8" s="204">
        <v>1</v>
      </c>
      <c r="F8" s="128">
        <v>1115886.0800000001</v>
      </c>
      <c r="G8" s="128">
        <f>E8*F8</f>
        <v>1115886.0800000001</v>
      </c>
      <c r="H8" s="129"/>
      <c r="I8" s="130">
        <f>H8</f>
        <v>0</v>
      </c>
      <c r="J8" s="209"/>
      <c r="K8" s="208"/>
      <c r="L8" s="213">
        <v>0.1</v>
      </c>
    </row>
    <row r="9" spans="1:12" ht="29.25" customHeight="1" thickBot="1">
      <c r="A9" s="208"/>
      <c r="B9" s="209"/>
      <c r="C9" s="209"/>
      <c r="D9" s="135"/>
      <c r="E9" s="237" t="s">
        <v>72</v>
      </c>
      <c r="F9" s="238"/>
      <c r="G9" s="191">
        <f>G8</f>
        <v>1115886.0800000001</v>
      </c>
      <c r="H9" s="192" t="s">
        <v>73</v>
      </c>
      <c r="I9" s="193">
        <f>I8</f>
        <v>0</v>
      </c>
      <c r="J9" s="209"/>
      <c r="K9" s="208"/>
      <c r="L9" s="213">
        <v>0</v>
      </c>
    </row>
    <row r="10" spans="1:12">
      <c r="A10" s="208"/>
      <c r="B10" s="209"/>
      <c r="C10" s="209"/>
      <c r="D10" s="209"/>
      <c r="E10" s="209"/>
      <c r="F10" s="131"/>
      <c r="G10" s="132"/>
      <c r="H10" s="133"/>
      <c r="I10" s="132"/>
      <c r="J10" s="209"/>
      <c r="K10" s="208"/>
    </row>
    <row r="11" spans="1:12" ht="15.75" thickBot="1">
      <c r="A11" s="208"/>
      <c r="B11" s="209"/>
      <c r="C11" s="210"/>
      <c r="D11" s="135"/>
      <c r="E11" s="134"/>
      <c r="F11" s="134"/>
      <c r="G11" s="137"/>
      <c r="H11" s="135"/>
      <c r="I11" s="136"/>
      <c r="J11" s="209"/>
      <c r="K11" s="208"/>
    </row>
    <row r="12" spans="1:12" ht="23.25" customHeight="1">
      <c r="A12" s="208"/>
      <c r="B12" s="209"/>
      <c r="C12" s="210"/>
      <c r="D12" s="135"/>
      <c r="E12" s="194" t="s">
        <v>74</v>
      </c>
      <c r="F12" s="195"/>
      <c r="G12" s="196">
        <f>G9</f>
        <v>1115886.0800000001</v>
      </c>
      <c r="H12" s="197" t="s">
        <v>75</v>
      </c>
      <c r="I12" s="198" t="str">
        <f>IF(I9=0,"",I9)</f>
        <v/>
      </c>
      <c r="J12" s="209"/>
      <c r="K12" s="208"/>
    </row>
    <row r="13" spans="1:12" ht="23.25" customHeight="1">
      <c r="A13" s="208"/>
      <c r="B13" s="209"/>
      <c r="C13" s="210"/>
      <c r="D13" s="135"/>
      <c r="E13" s="199" t="s">
        <v>76</v>
      </c>
      <c r="F13" s="205">
        <v>0.1</v>
      </c>
      <c r="G13" s="138">
        <f>G12*10/100</f>
        <v>111588.61</v>
      </c>
      <c r="H13" s="214">
        <v>0.1</v>
      </c>
      <c r="I13" s="206" t="e">
        <f>$I$12*H13</f>
        <v>#VALUE!</v>
      </c>
      <c r="J13" s="209"/>
      <c r="K13" s="208"/>
    </row>
    <row r="14" spans="1:12" ht="23.25" customHeight="1" thickBot="1">
      <c r="A14" s="208"/>
      <c r="B14" s="209"/>
      <c r="C14" s="210"/>
      <c r="D14" s="135"/>
      <c r="E14" s="200" t="s">
        <v>77</v>
      </c>
      <c r="F14" s="201"/>
      <c r="G14" s="202">
        <f>SUM(G12:G13)</f>
        <v>1227474.69</v>
      </c>
      <c r="H14" s="203" t="s">
        <v>78</v>
      </c>
      <c r="I14" s="207" t="str">
        <f>IF(I12="","",I12+I13)</f>
        <v/>
      </c>
      <c r="J14" s="209"/>
      <c r="K14" s="208"/>
    </row>
    <row r="15" spans="1:12">
      <c r="A15" s="208"/>
      <c r="B15" s="209"/>
      <c r="C15" s="210"/>
      <c r="D15" s="124"/>
      <c r="E15" s="139"/>
      <c r="F15" s="140"/>
      <c r="G15" s="141"/>
      <c r="H15" s="142"/>
      <c r="I15" s="143"/>
      <c r="J15" s="209"/>
      <c r="K15" s="208"/>
    </row>
    <row r="16" spans="1:12">
      <c r="A16" s="208"/>
      <c r="B16" s="209"/>
      <c r="C16" s="144" t="s">
        <v>124</v>
      </c>
      <c r="D16" s="144"/>
      <c r="E16" s="144"/>
      <c r="F16" s="144"/>
      <c r="G16" s="145"/>
      <c r="H16" s="211"/>
      <c r="I16" s="144"/>
      <c r="J16" s="209"/>
      <c r="K16" s="208"/>
    </row>
    <row r="17" spans="1:11">
      <c r="A17" s="208"/>
      <c r="B17" s="209"/>
      <c r="C17" s="210"/>
      <c r="D17" s="144"/>
      <c r="E17" s="144"/>
      <c r="F17" s="144"/>
      <c r="G17" s="145"/>
      <c r="H17" s="144"/>
      <c r="I17" s="144"/>
      <c r="J17" s="209"/>
      <c r="K17" s="208"/>
    </row>
    <row r="18" spans="1:11">
      <c r="A18" s="208"/>
      <c r="B18" s="209"/>
      <c r="C18" s="210"/>
      <c r="D18" s="144"/>
      <c r="E18" s="144"/>
      <c r="F18" s="144"/>
      <c r="G18" s="145"/>
      <c r="H18" s="144"/>
      <c r="I18" s="144"/>
      <c r="J18" s="209"/>
      <c r="K18" s="208"/>
    </row>
    <row r="19" spans="1:11">
      <c r="A19" s="208"/>
      <c r="B19" s="209"/>
      <c r="C19" s="210"/>
      <c r="D19" s="144"/>
      <c r="E19" s="144"/>
      <c r="F19" s="144"/>
      <c r="G19" s="144"/>
      <c r="H19" s="144"/>
      <c r="I19" s="144"/>
      <c r="J19" s="209"/>
      <c r="K19" s="208"/>
    </row>
    <row r="20" spans="1:11" ht="44.25" customHeight="1">
      <c r="A20" s="208"/>
      <c r="B20" s="209"/>
      <c r="C20" s="212" t="s">
        <v>126</v>
      </c>
      <c r="D20" s="235" t="s">
        <v>123</v>
      </c>
      <c r="E20" s="236"/>
      <c r="F20" s="236"/>
      <c r="G20" s="236"/>
      <c r="H20" s="236"/>
      <c r="I20" s="236"/>
      <c r="J20" s="209"/>
      <c r="K20" s="208"/>
    </row>
    <row r="21" spans="1:11">
      <c r="A21" s="208"/>
      <c r="B21" s="209"/>
      <c r="C21" s="210"/>
      <c r="D21" s="236"/>
      <c r="E21" s="236"/>
      <c r="F21" s="236"/>
      <c r="G21" s="236"/>
      <c r="H21" s="236"/>
      <c r="I21" s="236"/>
      <c r="J21" s="209"/>
      <c r="K21" s="208"/>
    </row>
    <row r="22" spans="1:11">
      <c r="A22" s="208"/>
      <c r="B22" s="209"/>
      <c r="C22" s="210"/>
      <c r="D22" s="236"/>
      <c r="E22" s="236"/>
      <c r="F22" s="236"/>
      <c r="G22" s="236"/>
      <c r="H22" s="236"/>
      <c r="I22" s="236"/>
      <c r="J22" s="209"/>
      <c r="K22" s="208"/>
    </row>
    <row r="23" spans="1:11">
      <c r="A23" s="208"/>
      <c r="B23" s="209"/>
      <c r="C23" s="210"/>
      <c r="D23" s="184"/>
      <c r="E23" s="184"/>
      <c r="F23" s="184"/>
      <c r="G23" s="184"/>
      <c r="H23" s="144"/>
      <c r="I23" s="144"/>
      <c r="J23" s="209"/>
      <c r="K23" s="208"/>
    </row>
    <row r="24" spans="1:11">
      <c r="A24" s="208"/>
      <c r="B24" s="208"/>
      <c r="C24" s="208"/>
      <c r="D24" s="208"/>
      <c r="E24" s="208"/>
      <c r="F24" s="208"/>
      <c r="G24" s="208"/>
      <c r="H24" s="208"/>
      <c r="I24" s="208"/>
      <c r="J24" s="208"/>
      <c r="K24" s="208"/>
    </row>
    <row r="25" spans="1:11">
      <c r="A25" s="208"/>
      <c r="B25" s="209"/>
      <c r="C25" s="210"/>
      <c r="D25" s="184"/>
      <c r="E25" s="184"/>
      <c r="F25" s="184"/>
      <c r="G25" s="184"/>
      <c r="H25" s="144"/>
      <c r="I25" s="144"/>
      <c r="J25" s="209"/>
      <c r="K25" s="209"/>
    </row>
    <row r="26" spans="1:11">
      <c r="B26" s="209"/>
      <c r="C26" s="210"/>
      <c r="D26" s="184"/>
      <c r="E26" s="184"/>
      <c r="F26" s="184"/>
      <c r="G26" s="184"/>
      <c r="H26" s="144"/>
      <c r="I26" s="144"/>
      <c r="J26" s="209"/>
    </row>
    <row r="27" spans="1:11">
      <c r="B27" s="209"/>
      <c r="C27" s="210"/>
      <c r="D27" s="184"/>
      <c r="E27" s="184"/>
      <c r="F27" s="184"/>
      <c r="G27" s="184"/>
      <c r="H27" s="144"/>
      <c r="I27" s="144"/>
      <c r="J27" s="209"/>
    </row>
  </sheetData>
  <sheetProtection password="CE96" sheet="1" objects="1" scenarios="1"/>
  <mergeCells count="3">
    <mergeCell ref="C3:G3"/>
    <mergeCell ref="D20:I22"/>
    <mergeCell ref="E9:F9"/>
  </mergeCells>
  <dataValidations count="2">
    <dataValidation type="list" allowBlank="1" showInputMessage="1" showErrorMessage="1" sqref="L6:L9">
      <formula1>$L$6:$L$9</formula1>
    </dataValidation>
    <dataValidation type="list" allowBlank="1" showInputMessage="1" showErrorMessage="1" sqref="H13">
      <formula1>$L$8:$L$9</formula1>
    </dataValidation>
  </dataValidations>
  <printOptions horizontalCentered="1" verticalCentered="1"/>
  <pageMargins left="3.937007874015748E-2" right="3.937007874015748E-2" top="0.15748031496062992" bottom="0.15748031496062992" header="0.31496062992125984" footer="0.31496062992125984"/>
  <pageSetup paperSize="9" scale="60" orientation="landscape" r:id="rId1"/>
  <customProperties>
    <customPr name="EpmWorksheetKeyString_GUID" r:id="rId2"/>
  </customPropertie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3</vt:i4>
      </vt:variant>
    </vt:vector>
  </HeadingPairs>
  <TitlesOfParts>
    <vt:vector size="3" baseType="lpstr">
      <vt:lpstr>Cost liquidació 2 PAIDOS 2022</vt:lpstr>
      <vt:lpstr>SALARIS NOU CONVENI</vt:lpstr>
      <vt:lpstr>Annex 4 bis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2024-02-26T12:23:30Z</dcterms:modified>
</cp:coreProperties>
</file>