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0" yWindow="0" windowWidth="15600" windowHeight="11010"/>
  </bookViews>
  <sheets>
    <sheet name="Contractes menors període" sheetId="1" r:id="rId1"/>
  </sheets>
  <externalReferences>
    <externalReference r:id="rId2"/>
  </externalReferences>
  <definedNames>
    <definedName name="_xlnm._FilterDatabase" localSheetId="0" hidden="1">'Contractes menors període'!$A$1:$H$483</definedName>
    <definedName name="ADJUDICATARI_PAIS_HIDDEN">[1]Hidden!$I$2:$I$247</definedName>
    <definedName name="ADJUDICATARI_PROVINCIA_HIDDEN">[1]Hidden!$J$2:$J$56</definedName>
    <definedName name="GRUP_HIDDEN">[1]Hidden!$B$2:$B$3</definedName>
    <definedName name="ORGANISME_HIDDEN">[1]Hidden!$A$2:$A$2</definedName>
    <definedName name="TIPUS_HIDDEN">[1]Hidden!$C$2:$C$4</definedName>
  </definedNames>
  <calcPr calcId="125725"/>
</workbook>
</file>

<file path=xl/calcChain.xml><?xml version="1.0" encoding="utf-8"?>
<calcChain xmlns="http://schemas.openxmlformats.org/spreadsheetml/2006/main">
  <c r="F363" i="1"/>
  <c r="D363"/>
  <c r="D362"/>
  <c r="D361"/>
  <c r="D360"/>
  <c r="D359"/>
  <c r="D364"/>
  <c r="D365"/>
  <c r="F365"/>
  <c r="D366"/>
  <c r="F366"/>
  <c r="D367"/>
  <c r="D368"/>
  <c r="D369"/>
  <c r="D370"/>
  <c r="D371"/>
  <c r="D372"/>
  <c r="D373"/>
  <c r="D375"/>
  <c r="D376"/>
  <c r="D377"/>
  <c r="D378"/>
  <c r="D379"/>
  <c r="F379"/>
  <c r="D380"/>
  <c r="F380"/>
  <c r="D381"/>
  <c r="D382"/>
  <c r="F382"/>
  <c r="D383"/>
  <c r="D384"/>
  <c r="D385"/>
  <c r="F385"/>
  <c r="D386"/>
  <c r="F386"/>
  <c r="D387"/>
  <c r="D388"/>
  <c r="F388"/>
  <c r="D389"/>
  <c r="D390"/>
  <c r="D391"/>
  <c r="D392"/>
  <c r="D393"/>
  <c r="D397"/>
  <c r="F397"/>
  <c r="D398"/>
  <c r="D399"/>
  <c r="D400"/>
  <c r="F400"/>
  <c r="D402"/>
  <c r="D403"/>
  <c r="D404"/>
  <c r="D405"/>
  <c r="D406"/>
  <c r="F406"/>
  <c r="D407"/>
  <c r="D408"/>
  <c r="F408"/>
  <c r="D409"/>
  <c r="D410"/>
  <c r="F410"/>
  <c r="D411"/>
  <c r="D412"/>
  <c r="F412"/>
  <c r="D413"/>
  <c r="F413"/>
  <c r="D414"/>
  <c r="D415"/>
  <c r="D416"/>
  <c r="F416"/>
  <c r="D417"/>
  <c r="D418"/>
  <c r="F418"/>
  <c r="D419"/>
  <c r="F419"/>
  <c r="D420"/>
  <c r="F420"/>
  <c r="D421"/>
  <c r="F421"/>
  <c r="D422"/>
  <c r="F422"/>
  <c r="D423"/>
  <c r="F423"/>
  <c r="D424"/>
  <c r="F424"/>
  <c r="D425"/>
  <c r="F425"/>
  <c r="D426"/>
  <c r="F426"/>
  <c r="D427"/>
  <c r="D428"/>
  <c r="F428"/>
  <c r="D429"/>
  <c r="D430"/>
  <c r="D431"/>
  <c r="D432"/>
  <c r="F432"/>
  <c r="D433"/>
  <c r="F433"/>
  <c r="D434"/>
  <c r="F434"/>
  <c r="D435"/>
  <c r="F435"/>
  <c r="D436"/>
  <c r="F436"/>
  <c r="D437"/>
  <c r="D438"/>
  <c r="D439"/>
  <c r="F439"/>
  <c r="D440"/>
  <c r="F440"/>
  <c r="D441"/>
  <c r="F441"/>
  <c r="F442"/>
  <c r="D443"/>
  <c r="F443"/>
  <c r="F444"/>
  <c r="D445"/>
  <c r="F445"/>
  <c r="D446"/>
  <c r="F446"/>
  <c r="D447"/>
  <c r="F447"/>
  <c r="D448"/>
  <c r="D449"/>
  <c r="F450"/>
  <c r="F451"/>
  <c r="D452"/>
  <c r="F452"/>
  <c r="D453"/>
  <c r="D454"/>
  <c r="D455"/>
  <c r="F455"/>
  <c r="D456"/>
  <c r="D457"/>
  <c r="D458"/>
  <c r="F458"/>
  <c r="D459"/>
  <c r="F459"/>
  <c r="D460"/>
  <c r="F460"/>
  <c r="D461"/>
  <c r="D462"/>
  <c r="D463"/>
  <c r="D464"/>
  <c r="F464"/>
  <c r="D465"/>
  <c r="F465"/>
  <c r="D466"/>
  <c r="F466"/>
  <c r="D467"/>
  <c r="F467"/>
  <c r="D468"/>
  <c r="F468"/>
  <c r="D469"/>
  <c r="D470"/>
  <c r="D471"/>
  <c r="F471"/>
  <c r="D472"/>
  <c r="D473"/>
  <c r="F473"/>
  <c r="D474"/>
  <c r="F474"/>
  <c r="D475"/>
  <c r="F475"/>
  <c r="D476"/>
  <c r="D477"/>
  <c r="D478"/>
  <c r="F478"/>
  <c r="D479"/>
  <c r="F479"/>
  <c r="D480"/>
  <c r="F480"/>
  <c r="D481"/>
  <c r="F481"/>
  <c r="D482"/>
  <c r="D483"/>
  <c r="F483"/>
  <c r="F358"/>
  <c r="D358"/>
  <c r="D357"/>
  <c r="D356"/>
  <c r="F355"/>
  <c r="D354"/>
  <c r="F354"/>
  <c r="F353"/>
  <c r="D355"/>
  <c r="D353"/>
  <c r="F352"/>
  <c r="D352"/>
  <c r="F351"/>
  <c r="D351"/>
  <c r="F350"/>
  <c r="D350"/>
  <c r="F347"/>
  <c r="D347"/>
  <c r="D344"/>
  <c r="F343"/>
  <c r="F342"/>
  <c r="D348"/>
  <c r="D346"/>
  <c r="D345"/>
  <c r="D343"/>
  <c r="D342"/>
  <c r="F341"/>
  <c r="F340"/>
  <c r="F339"/>
  <c r="F338"/>
  <c r="F337"/>
  <c r="D341"/>
  <c r="D339"/>
  <c r="D338"/>
  <c r="F335"/>
  <c r="F334"/>
  <c r="D335"/>
  <c r="F333"/>
  <c r="D334"/>
  <c r="D333"/>
  <c r="F332"/>
  <c r="F331"/>
  <c r="D332"/>
  <c r="D331"/>
  <c r="F330"/>
  <c r="D330"/>
  <c r="D329"/>
  <c r="F327"/>
  <c r="D328"/>
  <c r="D327"/>
  <c r="F325"/>
  <c r="F324"/>
  <c r="D326"/>
  <c r="D325"/>
  <c r="D324"/>
  <c r="F320"/>
  <c r="D322"/>
  <c r="D321"/>
  <c r="D320"/>
  <c r="F318"/>
  <c r="D318"/>
  <c r="F317"/>
  <c r="D317"/>
  <c r="D316"/>
  <c r="F315"/>
  <c r="D315"/>
  <c r="D314"/>
  <c r="F313"/>
  <c r="D313"/>
  <c r="F312"/>
  <c r="D312"/>
  <c r="D311"/>
  <c r="F309"/>
  <c r="F308"/>
  <c r="F306"/>
  <c r="F305"/>
  <c r="F302"/>
  <c r="D310"/>
  <c r="D309"/>
  <c r="D308"/>
  <c r="D307"/>
  <c r="D306"/>
  <c r="D305"/>
  <c r="D304"/>
  <c r="D303"/>
  <c r="D302"/>
  <c r="F301"/>
  <c r="D301"/>
  <c r="F300"/>
  <c r="D300"/>
  <c r="D299"/>
  <c r="F298"/>
  <c r="D298"/>
  <c r="D297"/>
  <c r="D296"/>
  <c r="F295"/>
  <c r="D295"/>
  <c r="D294"/>
  <c r="F293"/>
  <c r="D293"/>
  <c r="F291"/>
  <c r="D291"/>
  <c r="F290"/>
  <c r="D290"/>
  <c r="F289"/>
  <c r="D289"/>
  <c r="F287"/>
  <c r="F286"/>
  <c r="D288"/>
  <c r="D287"/>
  <c r="D286"/>
  <c r="F284"/>
  <c r="D284"/>
  <c r="F283"/>
  <c r="D283"/>
  <c r="D282"/>
  <c r="F281"/>
  <c r="D281"/>
  <c r="F279"/>
  <c r="D279"/>
  <c r="D278"/>
  <c r="D280"/>
  <c r="D277"/>
  <c r="F276"/>
  <c r="D276"/>
  <c r="F275"/>
  <c r="D275"/>
  <c r="F273"/>
  <c r="D274"/>
  <c r="D273"/>
  <c r="D272"/>
  <c r="D271"/>
  <c r="D270"/>
  <c r="D269"/>
  <c r="D268"/>
  <c r="F268"/>
  <c r="F267"/>
  <c r="D267"/>
  <c r="F266"/>
  <c r="D266"/>
  <c r="F265"/>
  <c r="D265"/>
  <c r="D264"/>
  <c r="D263"/>
  <c r="F262"/>
  <c r="D262"/>
  <c r="D261"/>
  <c r="D260"/>
  <c r="D259"/>
  <c r="D258"/>
  <c r="F257"/>
  <c r="D257"/>
  <c r="D256"/>
  <c r="D255"/>
  <c r="D254"/>
  <c r="D253"/>
  <c r="D252"/>
  <c r="D251"/>
  <c r="D250"/>
  <c r="D249"/>
  <c r="D248"/>
  <c r="D247"/>
  <c r="F246"/>
  <c r="D246"/>
  <c r="F245"/>
  <c r="D245"/>
  <c r="D244"/>
  <c r="D243"/>
  <c r="D242"/>
  <c r="D241"/>
  <c r="D238"/>
  <c r="D237"/>
  <c r="D236"/>
  <c r="D235"/>
  <c r="D234"/>
  <c r="F233"/>
  <c r="D233"/>
  <c r="D232"/>
  <c r="D231"/>
  <c r="D230"/>
  <c r="D229"/>
  <c r="F228"/>
  <c r="D228"/>
  <c r="D227"/>
  <c r="D226"/>
  <c r="D225"/>
  <c r="F220"/>
  <c r="F217"/>
  <c r="F216"/>
  <c r="F214"/>
  <c r="F210"/>
  <c r="D223"/>
  <c r="D222"/>
  <c r="D220"/>
  <c r="D216"/>
  <c r="D215"/>
  <c r="D214"/>
  <c r="D213"/>
  <c r="D212"/>
  <c r="D211"/>
  <c r="D210"/>
  <c r="D209"/>
  <c r="D208"/>
  <c r="D207"/>
  <c r="D206"/>
  <c r="D205"/>
  <c r="F204"/>
  <c r="D204"/>
  <c r="F203"/>
  <c r="D203"/>
  <c r="D202"/>
  <c r="D200"/>
  <c r="D199"/>
  <c r="D198"/>
  <c r="D197"/>
  <c r="D196"/>
  <c r="D195"/>
  <c r="F190"/>
  <c r="F189"/>
  <c r="F185"/>
  <c r="F182"/>
  <c r="F175"/>
  <c r="F173"/>
  <c r="F172"/>
  <c r="D171"/>
  <c r="D170"/>
  <c r="D169"/>
  <c r="F168"/>
  <c r="D168"/>
  <c r="F167"/>
  <c r="D167"/>
  <c r="F166"/>
  <c r="D166"/>
  <c r="F165"/>
  <c r="D165"/>
  <c r="D159"/>
  <c r="D158"/>
  <c r="F157"/>
  <c r="F156"/>
  <c r="D157"/>
  <c r="D156"/>
  <c r="D155"/>
  <c r="D154"/>
  <c r="F152"/>
  <c r="D152"/>
  <c r="F149"/>
  <c r="D149"/>
  <c r="D148"/>
  <c r="D147"/>
  <c r="F146"/>
  <c r="D146"/>
  <c r="D144"/>
  <c r="D143"/>
  <c r="D142"/>
  <c r="D141"/>
  <c r="F141"/>
  <c r="D140"/>
  <c r="F139"/>
  <c r="D139"/>
  <c r="D138"/>
  <c r="F137"/>
  <c r="D137"/>
  <c r="F136"/>
  <c r="D136"/>
  <c r="F135"/>
  <c r="D135"/>
  <c r="D134"/>
  <c r="D133"/>
  <c r="D132"/>
  <c r="D131"/>
  <c r="D130"/>
  <c r="F129"/>
  <c r="D129"/>
  <c r="D128"/>
  <c r="D127"/>
  <c r="F126"/>
  <c r="D126"/>
  <c r="D125"/>
  <c r="D124"/>
  <c r="D123"/>
  <c r="D122"/>
  <c r="D121"/>
  <c r="D120"/>
  <c r="D119"/>
  <c r="D118"/>
  <c r="D117"/>
  <c r="F116"/>
  <c r="D116"/>
  <c r="F114"/>
  <c r="D114"/>
  <c r="D113"/>
  <c r="D112"/>
  <c r="F111"/>
  <c r="D111"/>
  <c r="D110"/>
  <c r="D109"/>
  <c r="D108"/>
  <c r="D107"/>
  <c r="D106"/>
  <c r="D105"/>
  <c r="D104"/>
  <c r="D103"/>
  <c r="D102"/>
  <c r="D101"/>
  <c r="D100"/>
  <c r="D99"/>
  <c r="F98"/>
  <c r="D98"/>
  <c r="D97"/>
  <c r="F96"/>
  <c r="D96"/>
  <c r="F95"/>
  <c r="D95"/>
  <c r="F94"/>
  <c r="D94"/>
  <c r="D93"/>
  <c r="D92"/>
  <c r="F91"/>
  <c r="D90"/>
  <c r="D89"/>
  <c r="F88"/>
  <c r="D88"/>
  <c r="F87"/>
  <c r="D87"/>
  <c r="F86"/>
  <c r="D86"/>
  <c r="F85"/>
  <c r="D85"/>
  <c r="F84"/>
  <c r="D84"/>
  <c r="D83"/>
  <c r="F82"/>
  <c r="D82"/>
  <c r="D81"/>
  <c r="D80"/>
  <c r="D79"/>
  <c r="F78"/>
  <c r="D78"/>
  <c r="D77"/>
  <c r="F76"/>
  <c r="D76"/>
  <c r="D75"/>
  <c r="F74"/>
  <c r="D74"/>
  <c r="D73"/>
  <c r="D72"/>
  <c r="F71"/>
  <c r="D71"/>
  <c r="F70"/>
  <c r="D70"/>
  <c r="D69"/>
  <c r="F68"/>
  <c r="D68"/>
  <c r="F67"/>
  <c r="D67"/>
  <c r="F66"/>
  <c r="D66"/>
  <c r="F65"/>
  <c r="D65"/>
  <c r="F64"/>
  <c r="D64"/>
  <c r="D63"/>
  <c r="D62"/>
  <c r="F61"/>
  <c r="D61"/>
  <c r="D60"/>
  <c r="D59"/>
  <c r="F58"/>
  <c r="D58"/>
  <c r="F57"/>
  <c r="D57"/>
  <c r="F56"/>
  <c r="D56"/>
  <c r="D55"/>
  <c r="F54"/>
  <c r="D54"/>
  <c r="D53"/>
  <c r="F51"/>
  <c r="F50"/>
  <c r="F49"/>
  <c r="F48"/>
  <c r="F45"/>
  <c r="F52"/>
  <c r="D52"/>
  <c r="D51"/>
  <c r="D50"/>
  <c r="D49"/>
  <c r="D47"/>
  <c r="D46"/>
  <c r="D45"/>
  <c r="D44"/>
  <c r="D43"/>
  <c r="D42"/>
  <c r="D41"/>
  <c r="F40"/>
  <c r="D40"/>
  <c r="F39"/>
  <c r="D39"/>
  <c r="D37"/>
  <c r="D32"/>
  <c r="D25"/>
  <c r="D36"/>
  <c r="D35"/>
  <c r="D34"/>
  <c r="D33"/>
  <c r="F32"/>
  <c r="D31"/>
  <c r="F30"/>
  <c r="D30"/>
  <c r="D29"/>
  <c r="D15"/>
  <c r="D24"/>
  <c r="D23"/>
  <c r="D22"/>
  <c r="D21"/>
  <c r="D19"/>
  <c r="D18"/>
  <c r="D17"/>
  <c r="D16"/>
  <c r="D14"/>
  <c r="D13"/>
  <c r="D11"/>
  <c r="D10"/>
  <c r="D9"/>
</calcChain>
</file>

<file path=xl/sharedStrings.xml><?xml version="1.0" encoding="utf-8"?>
<sst xmlns="http://schemas.openxmlformats.org/spreadsheetml/2006/main" count="2419" uniqueCount="1708">
  <si>
    <t>Número de l’expedient</t>
  </si>
  <si>
    <t>Exercici de l’expedient</t>
  </si>
  <si>
    <t>Objecte del contracte</t>
  </si>
  <si>
    <t>Import d’adjudicació amb IVA</t>
  </si>
  <si>
    <t>Informe justificatiu (art.159 Llei 5/2017)</t>
  </si>
  <si>
    <t>Denominació empresa adjudicatària</t>
  </si>
  <si>
    <t>NIF empresa adjudicatària</t>
  </si>
  <si>
    <t>Data inici execució</t>
  </si>
  <si>
    <t>Data fi execució</t>
  </si>
  <si>
    <t>22/2020/CMN</t>
  </si>
  <si>
    <t>Subministrament de 6 switchs de 48 ports</t>
  </si>
  <si>
    <t>INFORMATICA CORPORATIVA CATALANA ICC, SL</t>
  </si>
  <si>
    <t>B60421401</t>
  </si>
  <si>
    <t>SI</t>
  </si>
  <si>
    <t>93/2020/CMN</t>
  </si>
  <si>
    <t>Desenvolupament de la tercera fase de la APP Go Zero Waste</t>
  </si>
  <si>
    <t>SPARCITY TECHNOLOGIES</t>
  </si>
  <si>
    <t>B65297038</t>
  </si>
  <si>
    <t>323/2020/CMN</t>
  </si>
  <si>
    <t>Reparació casetes de fusta</t>
  </si>
  <si>
    <t>CAMP BASE ORGANITZATION, SL</t>
  </si>
  <si>
    <t>B63378525</t>
  </si>
  <si>
    <t>NO</t>
  </si>
  <si>
    <t>360/2020/CMN</t>
  </si>
  <si>
    <t>Subministrament de productes de neteja per a les 4 llars d'infants municipals</t>
  </si>
  <si>
    <t>RBM RODIS, SLU</t>
  </si>
  <si>
    <t>B59751941</t>
  </si>
  <si>
    <t>446/2020/CMN</t>
  </si>
  <si>
    <t>Modificació d'instal·lacions "desplaçament de la ubicació de la CGP del quadre d'enllumenat públic EP044</t>
  </si>
  <si>
    <t>EDISTRIBUCION REDES DIGITALES, SLU</t>
  </si>
  <si>
    <t>B82846817</t>
  </si>
  <si>
    <t>451/2020/CMN</t>
  </si>
  <si>
    <t>Deixar sense corrent una línia per poder fer uns treballs de manteniment en el parc Sant Salvador</t>
  </si>
  <si>
    <t>549/2020/CMN</t>
  </si>
  <si>
    <t>Producció, muntatge i desmuntatge de banderoles dels tòtems de la programació del Teatre Cal Bolet i l'Auditori de Vilafranca</t>
  </si>
  <si>
    <t>MANUEL SILVA VEGA</t>
  </si>
  <si>
    <t>43688268K</t>
  </si>
  <si>
    <t>721/2020/CMN</t>
  </si>
  <si>
    <t>Formació de 5 hores sobre economia circular a professsorat i emprenedors de l'escola Arsenal</t>
  </si>
  <si>
    <t>CETAQUA</t>
  </si>
  <si>
    <t>G64386626</t>
  </si>
  <si>
    <t>740/2020/CMN</t>
  </si>
  <si>
    <t>Subministrament d'un reproductor digital output HDMI</t>
  </si>
  <si>
    <t>B65536435</t>
  </si>
  <si>
    <t>741/2020/CMN</t>
  </si>
  <si>
    <t xml:space="preserve">Presentació del projecte "Las Muertes Chiquitas"
</t>
  </si>
  <si>
    <t>SELLARES CASAS MIREIA</t>
  </si>
  <si>
    <t>37330496R</t>
  </si>
  <si>
    <t>747/2020/CMN</t>
  </si>
  <si>
    <t>Contractar l'acció formativa "Utilitza el teu smartphone en la recerca de feina"</t>
  </si>
  <si>
    <t>SERGI ESTERLÍ SANLLEHY</t>
  </si>
  <si>
    <t>34738061B</t>
  </si>
  <si>
    <t>748/2020/CMN</t>
  </si>
  <si>
    <t>Subministrament d'un tram de tanca per protegir els jocs infantils. Carrer Torrelles de Foix</t>
  </si>
  <si>
    <t>NOVATILU SLU</t>
  </si>
  <si>
    <t>B98197916</t>
  </si>
  <si>
    <t>753/2020/CMN</t>
  </si>
  <si>
    <t>Realitzar Acció formativa "Mindfulness"</t>
  </si>
  <si>
    <t>SORAYA DÍAZ TÉLLEZ</t>
  </si>
  <si>
    <t>37288593G</t>
  </si>
  <si>
    <t>756/2020/CMN</t>
  </si>
  <si>
    <t xml:space="preserve">Espectacle Trópico de Covadonga </t>
  </si>
  <si>
    <t>RODRIGO CUEVAS GONZÁLEZ</t>
  </si>
  <si>
    <t xml:space="preserve">71655694E
</t>
  </si>
  <si>
    <t>776/2020/CMN</t>
  </si>
  <si>
    <t xml:space="preserve">Subministrament de material divers de ferreteria </t>
  </si>
  <si>
    <t>B59553974</t>
  </si>
  <si>
    <t xml:space="preserve">USTRELL VILAFRANCA S.L. </t>
  </si>
  <si>
    <t>780/2020/CMN</t>
  </si>
  <si>
    <t xml:space="preserve">Lloguer de copes de cava i aigua espectacles Teatre Cal Bolet i l'Auditori de Vilafranca </t>
  </si>
  <si>
    <t>B63665079</t>
  </si>
  <si>
    <t>TOT CATERING</t>
  </si>
  <si>
    <t xml:space="preserve">04/03/2020
</t>
  </si>
  <si>
    <t>785/2020/CMN</t>
  </si>
  <si>
    <t>Servei de redacció del guió, disseny, escenificació i representació de monòleg motivacional teatralitzat</t>
  </si>
  <si>
    <t>46568277Q</t>
  </si>
  <si>
    <t>SERGI GRIMAU GRAGERA</t>
  </si>
  <si>
    <t>795/2020/CMN</t>
  </si>
  <si>
    <t>Subministrament de impressió del material publicitari de la programació del Teatre Cal Bolet  i l'Auditori 2020</t>
  </si>
  <si>
    <t xml:space="preserve">B62753736
</t>
  </si>
  <si>
    <t>GRAFIQUES KERPE S.L</t>
  </si>
  <si>
    <t>798/2020/CMN</t>
  </si>
  <si>
    <t xml:space="preserve">Contractar l'acció formativa "Practica la venta de tu mateix" a través de l'Elevator Pitch"
</t>
  </si>
  <si>
    <t xml:space="preserve">B66002098
</t>
  </si>
  <si>
    <t xml:space="preserve">LIVING A JOB CONSULTORS S.L </t>
  </si>
  <si>
    <t>801/2020/CMN</t>
  </si>
  <si>
    <t>Lloguer d'una mampara acústica CLEARSONIC PANEL ACÚSTICO AR5-5 168 cm x 305 cm de 9 m3</t>
  </si>
  <si>
    <t>B80216435</t>
  </si>
  <si>
    <t>CALL&amp;PLAY S.L</t>
  </si>
  <si>
    <t>803/2020/CMN</t>
  </si>
  <si>
    <t xml:space="preserve">Subministrament de llibres per a la Biblioteca Torras i Bages </t>
  </si>
  <si>
    <t>B65666786</t>
  </si>
  <si>
    <t xml:space="preserve">LA BEN NASCUDA LLIBRES I ACCIONS CULTURALS S.L
</t>
  </si>
  <si>
    <t>804/2020/CMN</t>
  </si>
  <si>
    <t>B60518727</t>
  </si>
  <si>
    <t>LLIBRERIA L'ODISSEA LLIBRES I MUSICA S.L</t>
  </si>
  <si>
    <t>805/2020/CMN</t>
  </si>
  <si>
    <t>F08226714</t>
  </si>
  <si>
    <t xml:space="preserve">ABACUS ABACUS S.COOP.C.L </t>
  </si>
  <si>
    <t>809/2020/CMN</t>
  </si>
  <si>
    <t>Realitzar l'acció formativa "Com fer fotos, vídeos i textos a Instagram i altres xarxas socials"</t>
  </si>
  <si>
    <t>046739604Q</t>
  </si>
  <si>
    <t xml:space="preserve">MÒNICA URRÚTIA </t>
  </si>
  <si>
    <t xml:space="preserve">812/2020/CMN
</t>
  </si>
  <si>
    <t>Realitzar l'acció formativa "Les Stories d'Instagram. Un nou format i un nou llenguatge"</t>
  </si>
  <si>
    <t>46739604Q</t>
  </si>
  <si>
    <t>813/2020/CMN</t>
  </si>
  <si>
    <t xml:space="preserve">Realitzar acció formativa "No dinis mai sol" </t>
  </si>
  <si>
    <t xml:space="preserve">B67265173
</t>
  </si>
  <si>
    <t>SOCIETY AND NEUROBUSINESS S.L</t>
  </si>
  <si>
    <t>814/2020/CMN</t>
  </si>
  <si>
    <t>827/2020/CMN</t>
  </si>
  <si>
    <t>833/2020/CMN</t>
  </si>
  <si>
    <t>834/2020/CMN</t>
  </si>
  <si>
    <t>835/2020/CMN</t>
  </si>
  <si>
    <t>838/2020/CMN</t>
  </si>
  <si>
    <t>845/2020/CMN</t>
  </si>
  <si>
    <t>852/2020/CMN</t>
  </si>
  <si>
    <t>855/2020/CMN</t>
  </si>
  <si>
    <t>879/2020/CMN</t>
  </si>
  <si>
    <t>886/2020/CMN</t>
  </si>
  <si>
    <t>888/2020/CMN</t>
  </si>
  <si>
    <t>891/2020/CMN</t>
  </si>
  <si>
    <t>894/2020/CMN</t>
  </si>
  <si>
    <t>898/2020/CMN</t>
  </si>
  <si>
    <t>914/2020/CMN</t>
  </si>
  <si>
    <t>923/2020/CMN</t>
  </si>
  <si>
    <t>924/2020/CMN</t>
  </si>
  <si>
    <t>925/2020/CMN</t>
  </si>
  <si>
    <t>926/2020/CMN</t>
  </si>
  <si>
    <t>933/2020/CMN</t>
  </si>
  <si>
    <t>948/2020/CMN</t>
  </si>
  <si>
    <t>951/2020/CMN</t>
  </si>
  <si>
    <t>955/200/CMN</t>
  </si>
  <si>
    <t>960/200/CMN</t>
  </si>
  <si>
    <t>971/200/CMN</t>
  </si>
  <si>
    <t>1025/2020/CMN</t>
  </si>
  <si>
    <t>1061/2020/CMN</t>
  </si>
  <si>
    <t>1062/2020/CMN</t>
  </si>
  <si>
    <t>1076/2020/CMN</t>
  </si>
  <si>
    <t>1084/2020/CMN</t>
  </si>
  <si>
    <t>1087/2020/CMN</t>
  </si>
  <si>
    <t>1090/2020/CMN</t>
  </si>
  <si>
    <t>1094/2020/CMN</t>
  </si>
  <si>
    <t>1095/2020/CMN</t>
  </si>
  <si>
    <t>1097/2020/CMN</t>
  </si>
  <si>
    <t>1099/2020/CMN</t>
  </si>
  <si>
    <t>1107/2020/CMN</t>
  </si>
  <si>
    <t>1109/2020/CMN</t>
  </si>
  <si>
    <t>1130/2020/CMN</t>
  </si>
  <si>
    <t>1139/2020/CMN</t>
  </si>
  <si>
    <t>1145/2020/CMN</t>
  </si>
  <si>
    <t>1147/2020/CMN</t>
  </si>
  <si>
    <t>1150/2020/CMN</t>
  </si>
  <si>
    <t>1156/2020/CMN</t>
  </si>
  <si>
    <t>1157/2020/CMN</t>
  </si>
  <si>
    <t>1159/2020/CMN</t>
  </si>
  <si>
    <t>1164/2020/CMN</t>
  </si>
  <si>
    <t>1166/2020/CMN</t>
  </si>
  <si>
    <t>1184/2020/CMN</t>
  </si>
  <si>
    <t>1198/2020/CMN</t>
  </si>
  <si>
    <t>1201/2020/CMN</t>
  </si>
  <si>
    <t>1202/2020/CMN</t>
  </si>
  <si>
    <t>1207/2020/CMN</t>
  </si>
  <si>
    <t>1208/2020/CMN</t>
  </si>
  <si>
    <t>1209/2020/CMN</t>
  </si>
  <si>
    <t>1225/2020/CMN</t>
  </si>
  <si>
    <t>1228/2020/CMN</t>
  </si>
  <si>
    <t>1229/2020/CMN</t>
  </si>
  <si>
    <t>1231/2020/CMN</t>
  </si>
  <si>
    <t>1233/2020/CMN</t>
  </si>
  <si>
    <t>1236/2020/CMN</t>
  </si>
  <si>
    <t>1251/2020/CMN</t>
  </si>
  <si>
    <t>1253/2020/CMN</t>
  </si>
  <si>
    <t>1255/2020/CMN</t>
  </si>
  <si>
    <t>1257/2020/CMN</t>
  </si>
  <si>
    <t>1270/2020/CMN</t>
  </si>
  <si>
    <t>1238/2020/CMN</t>
  </si>
  <si>
    <t>1239/2020/CMN</t>
  </si>
  <si>
    <t>1240/2020/CMN</t>
  </si>
  <si>
    <t>1242/2020/CMN</t>
  </si>
  <si>
    <t>1247/2020/CMN</t>
  </si>
  <si>
    <t>1250/2020/CMN</t>
  </si>
  <si>
    <t>1272/2020/CMN</t>
  </si>
  <si>
    <t>1275/2020/CMN</t>
  </si>
  <si>
    <t>1287/2020/CMN</t>
  </si>
  <si>
    <t>1289/2020/CMN</t>
  </si>
  <si>
    <t>1290/2020/CMN</t>
  </si>
  <si>
    <t>1294/2020/CMN</t>
  </si>
  <si>
    <t>1305/2020/CMN</t>
  </si>
  <si>
    <t>1313/2020/CMN</t>
  </si>
  <si>
    <t>1315/2020/CMN</t>
  </si>
  <si>
    <t>1317/2020/CMN</t>
  </si>
  <si>
    <t>1319/2020/CMN</t>
  </si>
  <si>
    <t>1329/2020/CMN</t>
  </si>
  <si>
    <t>1341/2020/CMN</t>
  </si>
  <si>
    <t>Realitzar l'acció formativa  "Ho estic fen bé? Els indicadors clau de gestió de la pime o autònom"</t>
  </si>
  <si>
    <t xml:space="preserve">Transport del material de so i de llum per al concert d'Obeses a l'Auditori Municipal </t>
  </si>
  <si>
    <t>Subministrament de diferents actes A4 impreses i duplicades segon especificació a la memòria justificativa</t>
  </si>
  <si>
    <t xml:space="preserve">Realització de l'Espectacle "Sin permiso. Canciones para el silencio", Teatre Cal Bolet </t>
  </si>
  <si>
    <t>Subministrament de 25 teclats amb lectors de targes amb certificats digital</t>
  </si>
  <si>
    <t>Creació y disseny de la imatge del projecte Ruta "Bar a Vins" dins del pla de màrqueting 2019/2021</t>
  </si>
  <si>
    <t>Realització de l'espectacle "Obeses amb la Cobla Berga Jove i el Cor d'Obeses. Lloc Auditori Municipal"</t>
  </si>
  <si>
    <t>Desmuntatge de la tanca perimetral de la pista de patinatge, del pavelló firal.Per a la Fira del Vehicle d'Ocasió 2020 i les Fires de Maig 2020</t>
  </si>
  <si>
    <t xml:space="preserve">Realització de l'espectacle "Excalibur i altres històries d'animals Morts". Lloc Teatre Cal Bolet </t>
  </si>
  <si>
    <t>Servei de formació adreçat al professorat a fi de dotar-lo d'elements i eines educatives que els permeti treballar perjudicis i estereotips, diversitat afectiva i sexual així com prevenir la discriminació per LGTBI entre els/les alumnes</t>
  </si>
  <si>
    <t xml:space="preserve">Realització d'un moble a mida per al servei de vigilància de Policia Municipal a la casa de la Vila </t>
  </si>
  <si>
    <t xml:space="preserve">Realització d'un moble a mida per al autoservei de tràmits de l'oficina d'atenció al ciutadà </t>
  </si>
  <si>
    <t xml:space="preserve">Subministrament del taulell de mabre i les piques del lavabo d'uns dels camerinos d'Auditori Municipal </t>
  </si>
  <si>
    <t>Subministrament de 5.000 punts de llibres de Sant Jordi 2020</t>
  </si>
  <si>
    <t xml:space="preserve">Subministrament i instal·lació de connexions d'audio i recol·locació del focus de l'espai  d'audicions Montserrat Junyent </t>
  </si>
  <si>
    <t xml:space="preserve">Subministrament de cinc targetes regal "Vilafranca Comerç" </t>
  </si>
  <si>
    <t xml:space="preserve">Subministrament de 10 aparcabicicletes </t>
  </si>
  <si>
    <t>Subministrament d'adhesius, realització de cartelleria i demés elements d'impresió i retolació per a diferents elements instal·lats a la via pública</t>
  </si>
  <si>
    <t>Servei de formació en iniciació al monitoratge de lleure, per a joves i adolescents. Eines virtuals disponibles des del Servei i àmpliament accesibles per a la població juvenil. Proyecte "La Nau Virtual"</t>
  </si>
  <si>
    <t>Subministrament de roba laboral pel personal de la Unitat de Serveis. Estiu 2020</t>
  </si>
  <si>
    <t xml:space="preserve">Insta·lacions en la rehabilitació d'un habitage sutiat al C. Bisbe Panyenlles. 4 1r. 4t. </t>
  </si>
  <si>
    <t>Subministrament de 2250 carpetes de cortesia amb solapa impresses amb la imatge corporativa de l'Ajuntament de Vilafranca del Penedès</t>
  </si>
  <si>
    <t>Subministrament de sobres impresos amb el logo de l'Ajuntament de Vilafranca segons necessitats</t>
  </si>
  <si>
    <t xml:space="preserve">Subministrament d'un aparell bufador per a la neteja diària del pati de l'escola Pau Boada </t>
  </si>
  <si>
    <t xml:space="preserve">Soterrar línia elèctrica. Escola Cristòfor Mestre </t>
  </si>
  <si>
    <t>Contractació de la gestió de les Xarxes Socials del Servei de Turisme de Vilafranca del Penedès</t>
  </si>
  <si>
    <t>Contractació del servei de neteja d'unes tovalles negres de protocol</t>
  </si>
  <si>
    <t xml:space="preserve">Servei de manteniment i conservació de la perruca del vestuari de la visita Modernista </t>
  </si>
  <si>
    <t xml:space="preserve">Subministrament de 50 telèfons VoIP Alcatel </t>
  </si>
  <si>
    <t xml:space="preserve">Subministrament de material didàtic per a les quatre llars municiplas d'infants </t>
  </si>
  <si>
    <t xml:space="preserve">Subministrament de roba laboral per al personal de les quatre llars municipals d'infants </t>
  </si>
  <si>
    <t>Servei d'instalació de sistema gestor de cues de la Oficina d'Habitatge</t>
  </si>
  <si>
    <t xml:space="preserve">Impressió i emmarcament d'una dotzena de fotografies per a la seva instal·lació a les dependències del Servei d'Ocupació </t>
  </si>
  <si>
    <t xml:space="preserve">Subministrament de 5 lones per protegir diferents espais municipals amb motiu dels balls de foc a les cercaviles de La Festa Major </t>
  </si>
  <si>
    <t>Subministrament de cintes per còpies de seguretat</t>
  </si>
  <si>
    <t xml:space="preserve">Servei d'implementació del mòdul de TAO eDicta Mòbil per l'Ajuntament de Vilafranca del Penedès </t>
  </si>
  <si>
    <t>Disseny i maquetació d'un tríptic informatiu per a la ruta "ENTRE VINYES Inclou elaboració d'un mapa amb informació de la ruta de la passejada i edició de continguts"</t>
  </si>
  <si>
    <t>Servei de manteniment, actualització i gestió al núvols de les antenes Wifi Cisco Meraki</t>
  </si>
  <si>
    <t xml:space="preserve">Contracció del suport tècnic i l'allotjament de la web de turisme de Vilafranca del Penedès </t>
  </si>
  <si>
    <t>Servei de treballs de manteniment preventiu dels motyors escènics i cortinatge de l'Auditori Minucipal de Vilafranca del Penedès</t>
  </si>
  <si>
    <t>Contracció de la tala de set exemplar s'arbrat viari senescents per qüestions de seguretat</t>
  </si>
  <si>
    <t>Contractació de tractament fitopatòlogic preventiu contra la plaga del Morrut els 25 exemplar de Phoenix canariensis (palemra Canària), Via pública del Terme Municipal de Vilafranca.</t>
  </si>
  <si>
    <t>Subministrament de 44 mapares de protecció pel COVID19</t>
  </si>
  <si>
    <t>Contractació per realitzar les inspeccions periòdiques corresponent a les instal·lacions de baixa tensió</t>
  </si>
  <si>
    <t>Servei de assesorament jurídic del SIAD en la situació excepcional del Covid19</t>
  </si>
  <si>
    <t xml:space="preserve">Substitució de la centraleta de detecció de gas propà a l'edifici Arsenal </t>
  </si>
  <si>
    <t xml:space="preserve">Subministrament de material per fer difusió i promoció de l'Oficina de Turisme per la difusió i promoció de Vilafranca de Penedès </t>
  </si>
  <si>
    <t>Instal·lació de 2 portes tipus ballesta per bloquejar les sortidas de l'ascensor existent a la planta baixa i ala planta entresol de l'Associació de Veïns de La Girada</t>
  </si>
  <si>
    <t xml:space="preserve">Servei de implantació i lloguer de la plataforma de ticketing YesWeTcket (YWT) </t>
  </si>
  <si>
    <t>Servei d'assessorament jurídic del SIAD. En la situació excepcional del COVI19</t>
  </si>
  <si>
    <t>Servei de revisió preventiva I.T.T (Inspecció Tècnica de Teatres 2020) del teló tallafocs i la maquinària escènica de Teatre Cal Bolet</t>
  </si>
  <si>
    <t xml:space="preserve">Servei de neteja i desinfecció de le instal·lacions d'aigua calenta sanitaria (ACS) l'Alberg Municipal de Joventud </t>
  </si>
  <si>
    <t>Contractació per realitzar les inspeccions perìodiques corresponent  a 8 ascensors d'edificis municipals.</t>
  </si>
  <si>
    <t xml:space="preserve">Subministrament de dos bressols infantils, amb els corresponets  productes tèxtils, per a l'Alberg Municipal de Juventud </t>
  </si>
  <si>
    <t xml:space="preserve">Subministrament de 3 trones evolutives per a infants per a l'Alberg Municipal de Joventud </t>
  </si>
  <si>
    <t>Servei de control de plagues quinzenal dels Mercats Municipals per a la prevenció de la Covid19</t>
  </si>
  <si>
    <t xml:space="preserve">Contractació d'un espai publicitari per comunicar les diferents activitats que organitza el Servei de Promoció Econòmica dirigides a empreses i a persones emprenedores en el mitjà escrit mensual "Penedès Econòmic" </t>
  </si>
  <si>
    <t>Contractació de la Conferència impartida per un ponet reconegut i mediàtic per les Fires de Maig Virtuals 2020</t>
  </si>
  <si>
    <t>Contractar la publicitat de les Fires de Maig en format virtual</t>
  </si>
  <si>
    <t>Contractació de la publicitat de les Fires de Maig en format Virtual</t>
  </si>
  <si>
    <t>Realitzar activitat formativa "Com dissenyar en pla de xoc pel meu comerç"</t>
  </si>
  <si>
    <t xml:space="preserve">Segregació de comptadors de la llum i aigua del Mercat de la Carn. </t>
  </si>
  <si>
    <t>Contractació del servei de  campanya publicitària per incentivar i promocionar Vilafranca</t>
  </si>
  <si>
    <t xml:space="preserve">Servei de reparació i revisió anual de la caldera de Biomassa del camp de futbol 1 de la zona esportiva </t>
  </si>
  <si>
    <t xml:space="preserve">Subministrament de material de pintura per a les instal·lacions esportivas munucipals </t>
  </si>
  <si>
    <t>Subministrament de làmpades 2000 per a projector MVF024 PHILLIPS. Per a camps esportiu grans</t>
  </si>
  <si>
    <t xml:space="preserve">Realitzar activitat formativa "Creativitat per reinventar" </t>
  </si>
  <si>
    <t xml:space="preserve">Subministrament d'un armari a mida per les instal·lacions a la recepció de l'edifici de la Nau </t>
  </si>
  <si>
    <t>Realitzar activitat formativa "Segones Micro Càpsules de confinament"</t>
  </si>
  <si>
    <t xml:space="preserve">Servei de tala d'un tram d'alineació de 17 exemplars de lledoners (Celtis australsi). Situat als escocells de devant els números 1 i 31 de l'Av. De Lluis Companys  </t>
  </si>
  <si>
    <t>Subministrament de publicitat de le Fires de Maig Virtual</t>
  </si>
  <si>
    <t xml:space="preserve">Servei d'una creació audiovisual en format vídeo, creat per Sergio Ros de Mora (La Fatxenda). </t>
  </si>
  <si>
    <t xml:space="preserve">Instal·lació d'un sistema de renovació d'aire a l'edifici de la Unitat de Serveis </t>
  </si>
  <si>
    <t>Servei d'elaboració de les fitxes patrimonials coreogràfiques dels balls de la Festa Mayor de Vilafranca del Penedès</t>
  </si>
  <si>
    <t xml:space="preserve">Subministrament de llibres pero ampliar o renovar el fons de la Biblioteca Torras i Bages </t>
  </si>
  <si>
    <t>Subministrament de llibres per ampliar o renovar el fons de la Biblioteca Torras i Bages</t>
  </si>
  <si>
    <t>Subministrament de llibres per ampliar o renovar el fons de la Biblioteca Torras i Bages. Amb la subvenció OSIC</t>
  </si>
  <si>
    <t>Subministrament de publicitat de le Fires de Maig en format Virtual</t>
  </si>
  <si>
    <t>Subministrament de un canvi de compressor de la cambra de refrigerats del Mercat Sant Salvador. Parada Bar Sushi</t>
  </si>
  <si>
    <t>Contractar el manteniment dels 11 parallamps</t>
  </si>
  <si>
    <t xml:space="preserve">Contractar la compra d'aparells per alls insectes al Mercat de la Carn </t>
  </si>
  <si>
    <t>Subministrament d'un suport per a la col·locació d'un aparell projector audiovisual ubicat en les dependèncias del SEFED del Servei d'Ocupació</t>
  </si>
  <si>
    <t>Contractar el servei de violinista de Ruben Mendez Rodriguez per el concert "El Rèquiem de Mozart" lloc Auditori Municipal</t>
  </si>
  <si>
    <t>Lloguer de cabines sanitàries  per les parades dels marcats no sedentaris de La Girada, Pelegrina i Mercat de dissabte. Durant els mesos de Juny, Juliol i Agost</t>
  </si>
  <si>
    <t xml:space="preserve">Realitzar accións formatives "Prepara't pel certificat ACTIC 1". "Prepara't pel certificat ACTIC 2" </t>
  </si>
  <si>
    <t>B61604682</t>
  </si>
  <si>
    <t>B60983111</t>
  </si>
  <si>
    <t>B64502503</t>
  </si>
  <si>
    <t>B65725384</t>
  </si>
  <si>
    <t>A28855260</t>
  </si>
  <si>
    <t>77315466T</t>
  </si>
  <si>
    <t>38834127G</t>
  </si>
  <si>
    <t>A08869042</t>
  </si>
  <si>
    <t>B43850544</t>
  </si>
  <si>
    <t>43200138C</t>
  </si>
  <si>
    <t>G65714099</t>
  </si>
  <si>
    <t>47686137F</t>
  </si>
  <si>
    <t>A58051673</t>
  </si>
  <si>
    <t>B08908519</t>
  </si>
  <si>
    <t>J62440839</t>
  </si>
  <si>
    <t>G61932695</t>
  </si>
  <si>
    <t>G66870528</t>
  </si>
  <si>
    <t>A58574526</t>
  </si>
  <si>
    <t>B60683471</t>
  </si>
  <si>
    <t>G64388705</t>
  </si>
  <si>
    <t>A08066896</t>
  </si>
  <si>
    <t>B58585613</t>
  </si>
  <si>
    <t>A20070876</t>
  </si>
  <si>
    <t>B5858561</t>
  </si>
  <si>
    <t>B66448051</t>
  </si>
  <si>
    <t>B61341905</t>
  </si>
  <si>
    <t>B66086739</t>
  </si>
  <si>
    <t>A08668022</t>
  </si>
  <si>
    <t>B66629494</t>
  </si>
  <si>
    <t>39709261Z</t>
  </si>
  <si>
    <t>B61077020</t>
  </si>
  <si>
    <t>B62753736</t>
  </si>
  <si>
    <t>B66937871</t>
  </si>
  <si>
    <t>A43132422</t>
  </si>
  <si>
    <t>A81608077</t>
  </si>
  <si>
    <t>77119737R</t>
  </si>
  <si>
    <t>A62543665</t>
  </si>
  <si>
    <t>B65606501</t>
  </si>
  <si>
    <t>B66824756</t>
  </si>
  <si>
    <t>F60705415</t>
  </si>
  <si>
    <t>B66477027</t>
  </si>
  <si>
    <t>B58847161</t>
  </si>
  <si>
    <t>A59555466</t>
  </si>
  <si>
    <t>46566920Q</t>
  </si>
  <si>
    <t>B61445102</t>
  </si>
  <si>
    <t>J65599185</t>
  </si>
  <si>
    <t>B61950127</t>
  </si>
  <si>
    <t>35001062F</t>
  </si>
  <si>
    <t>B65577223</t>
  </si>
  <si>
    <t>B61800793</t>
  </si>
  <si>
    <t>B08658601</t>
  </si>
  <si>
    <t>B62330410</t>
  </si>
  <si>
    <t>B43120534</t>
  </si>
  <si>
    <t>B62036132</t>
  </si>
  <si>
    <t>40872129W</t>
  </si>
  <si>
    <t>B64053770</t>
  </si>
  <si>
    <t>F66599226</t>
  </si>
  <si>
    <t>B66175928</t>
  </si>
  <si>
    <t>B62911920</t>
  </si>
  <si>
    <t>A17112616</t>
  </si>
  <si>
    <t>A63508964</t>
  </si>
  <si>
    <t>44632289L</t>
  </si>
  <si>
    <t>B65555971</t>
  </si>
  <si>
    <t>B62398573</t>
  </si>
  <si>
    <t>B59782664</t>
  </si>
  <si>
    <t>38103762E</t>
  </si>
  <si>
    <t>A97152094</t>
  </si>
  <si>
    <t>77320359V</t>
  </si>
  <si>
    <t>B58098013</t>
  </si>
  <si>
    <t>B65771446</t>
  </si>
  <si>
    <t>E08919623</t>
  </si>
  <si>
    <t>A61012142</t>
  </si>
  <si>
    <t>B43825199</t>
  </si>
  <si>
    <t>09808549S</t>
  </si>
  <si>
    <t>A62518121</t>
  </si>
  <si>
    <t xml:space="preserve">DALEPH FORMACIÓN S.L </t>
  </si>
  <si>
    <t>TOUR SERVEIS</t>
  </si>
  <si>
    <t>GRÀFIQUES IMPRÈS RÀPID</t>
  </si>
  <si>
    <t>ESCENA.UPART S.L</t>
  </si>
  <si>
    <t>INFORMATICA EL CORTE INGLÉS S.A</t>
  </si>
  <si>
    <t>ALBERTO MORENO GONZALEZ</t>
  </si>
  <si>
    <t>SERGI MATAS RIERA</t>
  </si>
  <si>
    <t>TALLERES PALAUTORDERA. S.A (TP SPORT)</t>
  </si>
  <si>
    <t xml:space="preserve">ESPAI TOT PER L'OFICINA </t>
  </si>
  <si>
    <t>MARIA DE LLUC PORTAS MIGUEL-GÓMARRA</t>
  </si>
  <si>
    <t>ASSOCIACIÓ ENRUTA'T</t>
  </si>
  <si>
    <t>ENRIC PUIG GREOLES</t>
  </si>
  <si>
    <t xml:space="preserve">CONSTRUCCIONS P. ROCA S.A </t>
  </si>
  <si>
    <t>GRAFIQUES DEL FOIX S.L</t>
  </si>
  <si>
    <t>TOKTOK MUSICALS</t>
  </si>
  <si>
    <t xml:space="preserve">ASSOCIACIÓ COMERCIANTS CENTRE VILA </t>
  </si>
  <si>
    <t>ASSOCIACIÓ JUVENIL SOCIAL LOVERS</t>
  </si>
  <si>
    <t>PARQUES Y JARDINES FABREGAS S.A</t>
  </si>
  <si>
    <t>IMAGI ART S.L</t>
  </si>
  <si>
    <t>FUNDACIO CATALANA DEL LLEURE EDUCATIU I SOCIOCULTURAL</t>
  </si>
  <si>
    <t xml:space="preserve">METALCO S.A </t>
  </si>
  <si>
    <t>LAMPISTERIA SALVADOR S.L</t>
  </si>
  <si>
    <t xml:space="preserve">ZELATUN S.A </t>
  </si>
  <si>
    <t xml:space="preserve">360 TOURISM MARKETING SERVICES </t>
  </si>
  <si>
    <t xml:space="preserve">RENTAT ROBA JUNCOSA S.L </t>
  </si>
  <si>
    <t>DAMARET CARACTERIZACIONES ESCENICAS S.L</t>
  </si>
  <si>
    <t>APLICACIONES ELÈCTRICA ENE S.A</t>
  </si>
  <si>
    <t>HERMEX IBÈRICA S.L</t>
  </si>
  <si>
    <t>LA BATA (M. ROSA FOGUET COLL)</t>
  </si>
  <si>
    <t xml:space="preserve">APLICACIONS MULTIMÈDIA INTERACTIVES S.L </t>
  </si>
  <si>
    <t xml:space="preserve">ART ROTOLACIÓ VIRTUAL </t>
  </si>
  <si>
    <t xml:space="preserve">INFORMATICA I COMUNICACIONS TARRAGONA S.A </t>
  </si>
  <si>
    <t>T-SYSTEMS ITC IBERICA SAU</t>
  </si>
  <si>
    <t xml:space="preserve">JOAN MATEU SALINAS </t>
  </si>
  <si>
    <t xml:space="preserve">INGENIERIA DE EQUIPOS AUXILIARES DE INFORMATICA S.A </t>
  </si>
  <si>
    <t>MOIXÓ ENGINYERIA INFORMÀTICA S.L</t>
  </si>
  <si>
    <t>ESCENOTÈCNIC ENGINYEIA  ESCÈNICA S.L</t>
  </si>
  <si>
    <t>NOU VERD SCCL</t>
  </si>
  <si>
    <t>FITOPATOLOGIA I NATURA S.L</t>
  </si>
  <si>
    <t>PALISA RÀFOLS S.L</t>
  </si>
  <si>
    <t>TUV RHEINLAND IBERICA ICT</t>
  </si>
  <si>
    <t>BEATRIZ ROMERO</t>
  </si>
  <si>
    <t>INTERCLIMA PENEDES S.L</t>
  </si>
  <si>
    <t>RAMIRO CANALS S.C.P</t>
  </si>
  <si>
    <t>SERVEIS D'INTERNET JAVAJAN S.L</t>
  </si>
  <si>
    <t xml:space="preserve">ANNA M. VALL RIUS </t>
  </si>
  <si>
    <t>BEATRIZ ROMERO CABEZA</t>
  </si>
  <si>
    <t xml:space="preserve">MACESCÈNIC </t>
  </si>
  <si>
    <t>QUIPORCALT S.L</t>
  </si>
  <si>
    <t>BUREAU VERITAS INSPECCION Y TESTING S.L</t>
  </si>
  <si>
    <t>CORTÉS GALÁN E HIJOS S.L</t>
  </si>
  <si>
    <t>AMBIENT SERVEI DE CONTROL DE PLAGUES  S.L</t>
  </si>
  <si>
    <t>EL CARGOL PUBLICACIONS S.L</t>
  </si>
  <si>
    <t xml:space="preserve">EMILIO DURO PAMIES </t>
  </si>
  <si>
    <t>GARRAF NEW MEDIA S.L</t>
  </si>
  <si>
    <t>LA FURA CONTINGUTS SCCL</t>
  </si>
  <si>
    <t>J3B3 ECONÒMICS S.L</t>
  </si>
  <si>
    <t>TERMOSUN ENERGIAS S.L</t>
  </si>
  <si>
    <t>EXCLUSIVES TOT COLOR S.A</t>
  </si>
  <si>
    <t>NOU SUMAPE S.A</t>
  </si>
  <si>
    <t>MARIA BATET ROVIRA</t>
  </si>
  <si>
    <t>SEMINARIS I FORMACIÓ S.L</t>
  </si>
  <si>
    <t>AMBIENTALIA WORLD S.L</t>
  </si>
  <si>
    <t>PUBLIONDA S.L</t>
  </si>
  <si>
    <t xml:space="preserve">SERGIO ROS DE MORA </t>
  </si>
  <si>
    <t>FULTON SERVICIOS INTEGRALES S.A</t>
  </si>
  <si>
    <t>RAIMON CASALS CANALIAS</t>
  </si>
  <si>
    <t xml:space="preserve">ABACUS S.COOP.C.L </t>
  </si>
  <si>
    <t>LA BEN NASCUDA LLIBRES I ACCIONS CULTURALS S.L</t>
  </si>
  <si>
    <t>SERCOM S.L</t>
  </si>
  <si>
    <t>SEGURA SERVIHOTEL S.L</t>
  </si>
  <si>
    <t>PARARRAYOS AUBACH C.B</t>
  </si>
  <si>
    <t>KILLGERM S.A</t>
  </si>
  <si>
    <t xml:space="preserve">OFIGRAFIC SERVEIS PER L'OFICINA S.L </t>
  </si>
  <si>
    <t>RUBEN MENDEZ RODRIGUEZ</t>
  </si>
  <si>
    <t>TOI TOI SANITARIES MOVILES S.A</t>
  </si>
  <si>
    <t xml:space="preserve">ELECTRONICA MITJANS ENERGIA I TELECOM, S.L. </t>
  </si>
  <si>
    <t>Armari
de melamina en color faig per emmagatzemar material d'oficina i documentació</t>
  </si>
  <si>
    <t>Servei de dinamització especialitzada en l'àmbit dels videojocs "Tarda de videojocs"</t>
  </si>
  <si>
    <t>841/2020/CMN</t>
  </si>
  <si>
    <t>1350/2020/CMN</t>
  </si>
  <si>
    <t>1356/2020/CMN</t>
  </si>
  <si>
    <t>1364/2020/CMN</t>
  </si>
  <si>
    <t>1370/2020/CMN</t>
  </si>
  <si>
    <t>1390/2020/CMN</t>
  </si>
  <si>
    <t>1389/2020/CMN</t>
  </si>
  <si>
    <t>1392/2020/CMN</t>
  </si>
  <si>
    <t>1401/2020/CMN</t>
  </si>
  <si>
    <t>1402/2020/CMN</t>
  </si>
  <si>
    <t>1406/2020/CMN</t>
  </si>
  <si>
    <t>1416/2020/CMN</t>
  </si>
  <si>
    <t>1424/2020/CMN</t>
  </si>
  <si>
    <t>1426/2020/CMN</t>
  </si>
  <si>
    <t>1431/2020/CMN</t>
  </si>
  <si>
    <t>1432/2020/CMN</t>
  </si>
  <si>
    <t>1436/2020/CMN</t>
  </si>
  <si>
    <t>1440/2020/CMN</t>
  </si>
  <si>
    <t>1441/2020/CMN</t>
  </si>
  <si>
    <t>1454/2020/CMN</t>
  </si>
  <si>
    <t>1455/2020/CMN</t>
  </si>
  <si>
    <t>1459/2020/CMN</t>
  </si>
  <si>
    <t>Realitzar accións formatives "Elevator Pitch"</t>
  </si>
  <si>
    <t xml:space="preserve">Representació de l'espectacle "Concert Vistes al Mar" de Toldrá. </t>
  </si>
  <si>
    <t xml:space="preserve">Representació de l'espectacle "Al Descobert de Marta Aran, Eu Manzanares i Concha Milla </t>
  </si>
  <si>
    <t xml:space="preserve">Reparació de humitats i sustitució baixant a la sala de secretaria annexa a l'Alcaldia </t>
  </si>
  <si>
    <t xml:space="preserve">Subministrament de certificats digitals pel personal de l'Ajuntament de Vilafranca del Penedès </t>
  </si>
  <si>
    <t>Contractació de l'adaptació de la imatge i impressió del material Obrim Vilafranca 2020</t>
  </si>
  <si>
    <t xml:space="preserve">Subministrament de 2 faristols d'acer corten de 5mm gruix, rovellat, sorrejat i saturat. Mides totals 250x1061mm, amb plec superior a 60º per col·locació de la imatge. Reforç a la parta posterior, planxa de alumini doblad, pintada amb doble componet i assecada al forn i amb impressió digital i laminat antigrafiti i anti UV de 250x250mm.Inclou ports a Vilafranca </t>
  </si>
  <si>
    <t xml:space="preserve">Enregistrament del concert de la Camerata Penedès amb Anna Roig i la emisió del concert per Penedès Televisió </t>
  </si>
  <si>
    <t xml:space="preserve">Contractació de un anunci de 1/2 pàgina per l'edició del proper 12 de juny de 2020 al mitjà local LA FURA per promocionar que es reprenen les Visites Guiades. </t>
  </si>
  <si>
    <t xml:space="preserve">Contractació de un anunci de 1/2 pàgina a l'edició del proper 12 de juny de 2020 al mitjà local EL 3 DE VUIT  per promocionar que es reprene les Visites </t>
  </si>
  <si>
    <t xml:space="preserve">Subministrament de 150 plaques identificatives llicències d'obres majors de particulars </t>
  </si>
  <si>
    <t xml:space="preserve">Submnistrament de gel hidroalcohòlic per als diferents equipaments minucipals </t>
  </si>
  <si>
    <t xml:space="preserve">Contractació de la publicació d'un anunci al reportatge del suplement "Turisme de Proximitat" del setmanari La Fura </t>
  </si>
  <si>
    <t>Manteniment de l'ascensor de l'edifici annex al pavelló de La Gamba, ubicat al passatge de l'Esport número 5</t>
  </si>
  <si>
    <t>Servei d'atenció a les sales d'estudi, del 22 de juny al 10 de juliol de 2020</t>
  </si>
  <si>
    <t>Contractar una campanya de publicitat programàtica de Turisme de Proximitat i d'autocaravanes, estiu 2020</t>
  </si>
  <si>
    <t xml:space="preserve">Contractació de la publicació d'un anunci de 1/2 pàgina a l'edició del proper 19 de juny de 2020 al mitjà local LA FURA. Per promocionar el projecte Bar i Vins </t>
  </si>
  <si>
    <t xml:space="preserve">Contractació de un anunci de 1/2 pàgina a l'edició del proper 19 de juny de 2020 al mitjà local EL 3 DE VUIT per promocionar el projecte Bar a Vins </t>
  </si>
  <si>
    <t xml:space="preserve">Servei de disseny i fabricació d'una còpia de l'antiga corona de bronze del Rei Melcior </t>
  </si>
  <si>
    <t>Subministrament de 20 pilones del tipus X-LAST que siguin compatibles amb els elements amb els elements complementaris que hi ha a la Via Pública, ja que aquestes pilones són recanvis per a les que ja són instal·lades</t>
  </si>
  <si>
    <t xml:space="preserve">Realització d'unes cales i sondejos per caracteritzar l'estructura Capella Cementeri </t>
  </si>
  <si>
    <t>P.H.R.O. TRAINING CONSULTANTS &amp; PARTNERS S.L</t>
  </si>
  <si>
    <t>OMENOM S.L</t>
  </si>
  <si>
    <t xml:space="preserve">LA CAMERATA PENEDÈS S.C.C.L </t>
  </si>
  <si>
    <t>FLYHARD PRODUCCIONS S.L</t>
  </si>
  <si>
    <t>CONSTRUCCIONS COTS I CLARET S.L</t>
  </si>
  <si>
    <t>CONSORCI ADMINISTRACIÓ OBERT DE CATALUNYA (AOC)</t>
  </si>
  <si>
    <t>RUTER TECNOLOGIA S.L</t>
  </si>
  <si>
    <t>LA FURA CONTINGUTS S.C.C.L</t>
  </si>
  <si>
    <t>PUBLICACIONS PENDEDES S.A (EL 3 DE VUIT)</t>
  </si>
  <si>
    <t>SBD SIGNAL MARK S.L</t>
  </si>
  <si>
    <t xml:space="preserve">FERRETERIA BADIA </t>
  </si>
  <si>
    <t>ORONA S.COOP</t>
  </si>
  <si>
    <t>NOU SET EMPREA DE INSERCIÓ S.C.C.L</t>
  </si>
  <si>
    <t>ONIAD ADVERTISING S.L</t>
  </si>
  <si>
    <t xml:space="preserve">JORDI GILBERT SOGAS </t>
  </si>
  <si>
    <t>SABACAUCHO S.A.U</t>
  </si>
  <si>
    <t>WINDMILL STRUCTURAL CONSULTANTS S.L.P</t>
  </si>
  <si>
    <t>B66117797</t>
  </si>
  <si>
    <t>B64472186</t>
  </si>
  <si>
    <t>F67549030</t>
  </si>
  <si>
    <t>B64311418</t>
  </si>
  <si>
    <t>B08136905</t>
  </si>
  <si>
    <t>Q0801175A</t>
  </si>
  <si>
    <t>B64582216</t>
  </si>
  <si>
    <t>A08734949</t>
  </si>
  <si>
    <t>B67259291</t>
  </si>
  <si>
    <t>A58670621</t>
  </si>
  <si>
    <t>F20025318</t>
  </si>
  <si>
    <t>F61457313</t>
  </si>
  <si>
    <t>B99501751</t>
  </si>
  <si>
    <t>07730604B</t>
  </si>
  <si>
    <t>A08837809</t>
  </si>
  <si>
    <t>B55559488</t>
  </si>
  <si>
    <t>1472/2020/CMN</t>
  </si>
  <si>
    <t>1473/2020/CMN</t>
  </si>
  <si>
    <t>1474/2020/CMN</t>
  </si>
  <si>
    <t>1476/2020/CMN</t>
  </si>
  <si>
    <t>1477/2020/CMN</t>
  </si>
  <si>
    <t>1478/2020/CMN</t>
  </si>
  <si>
    <t>Servei de treballs en la instal·lació de gas de la cuina de l'Alberg  Municipal de Juventut</t>
  </si>
  <si>
    <t>Contractació de reportatge fotogràfic per l'esdeveniment Obrim Vilafranca 2020</t>
  </si>
  <si>
    <t xml:space="preserve">Servei de la campanya publicitària de prevenció de la presència de mosquit tigre durant els mesos de calor. </t>
  </si>
  <si>
    <t xml:space="preserve">Subministrament de 28 mapares de protecció pel COVID19 a l'Ajuntament de Vilafranca del Penedès </t>
  </si>
  <si>
    <t>Contractació d'un expert en economia circular Nicola Cerantola per realitzar la ponència marc i la dinamització de la jornada "L'Economia circular con a eina per la reactivació econòmica al Penedès" (On-line)</t>
  </si>
  <si>
    <t xml:space="preserve">Servei de prevenció i control de legionel·losi a les instal·lacions Municipals, per un termini de tres mesos, de L'11 de Juliol al 10 d'octubre de 2020 </t>
  </si>
  <si>
    <t>DOMÈNEC FREIXADES  VENTOSA</t>
  </si>
  <si>
    <t xml:space="preserve">PELLISA RAFOLS S.L </t>
  </si>
  <si>
    <t xml:space="preserve">NICOLA CERANTOLA </t>
  </si>
  <si>
    <t>QUIPROCALT S.L</t>
  </si>
  <si>
    <t>77289228M</t>
  </si>
  <si>
    <t>X8369410D</t>
  </si>
  <si>
    <t>1479/2020/CMN</t>
  </si>
  <si>
    <t>1505/2020/CMN</t>
  </si>
  <si>
    <t>1506/2020/CMN</t>
  </si>
  <si>
    <t>1508/2020/CMN</t>
  </si>
  <si>
    <t>1510/2020/CMN</t>
  </si>
  <si>
    <t>1512/2020/CMN</t>
  </si>
  <si>
    <t>1514/2020/CMN</t>
  </si>
  <si>
    <t>1516/2020/CMN</t>
  </si>
  <si>
    <t>1517/2020/CMN</t>
  </si>
  <si>
    <t>1518/2020/CMN</t>
  </si>
  <si>
    <t xml:space="preserve">Servei de control de població de coloms al Municipi de Vilafranca del Penedès, amb un mètodo que no implique el sacrifici dels animals, per un termini de tres mesos. De l'1 de juliol a l'1 d'octubre de 2020 </t>
  </si>
  <si>
    <t>Servei de formació d'alimentació saludable adreçada a joves de 16 a 30 anys emmarcat en la programació trimestral d'activitas adreçadas a diferents franjas de edat entre els 12 i 30 anys a L'Espai Jove La Nau de l'Ajuntament de Vilafranca del Penedès</t>
  </si>
  <si>
    <t>Servei de formació Taller de Ioga i Meditació adreçada a diferents franjes d'edat entre els 12 i els 30.</t>
  </si>
  <si>
    <t>Contractació de un Coordinador de Seguretat i  Salut per las obres de tancament del pati de l'Alberg Municipal.</t>
  </si>
  <si>
    <t>Servei de projecció de cinema a la fresca en el marc de les activitats d'estiu-tardor 2020</t>
  </si>
  <si>
    <t xml:space="preserve">Servei de lloguer de butacas d'exterior, per a l'organització de les Escenes fresques, en el marc de la programació d'activitats estiu-tardor organitzades pel Servei de Joventut a l'espai jove La Nau </t>
  </si>
  <si>
    <t>Subministrament de impressió i de displays amb informació format QR</t>
  </si>
  <si>
    <t>Servei de formació al taller Mindfulness adreçada a joves de 16 a 30 anys enmarcat en la programació d'activitas estiu-tardor 2020</t>
  </si>
  <si>
    <t xml:space="preserve">Servei de formació taller "Acompanyament en la mort i el dol" adreçada a joves 16 a30 anys enmarcat en la programació trimestral d'activitas, adreçades a difernts franjes de edat entre els 12 i els 30 anys a L'Espai Jove La Nau. Ajuntament de Vilafranca del Penedès </t>
  </si>
  <si>
    <t xml:space="preserve">Contractació de una bossa de 15 hores per desenvolupament a mida de la plataforma de comerç electrònic per venda d'entrades de l'Ajuntament de Vilafranca del Penedès </t>
  </si>
  <si>
    <t>B66541988</t>
  </si>
  <si>
    <t>79241509G</t>
  </si>
  <si>
    <t>G58056722</t>
  </si>
  <si>
    <t>77098325W</t>
  </si>
  <si>
    <t>B17849852</t>
  </si>
  <si>
    <t>55225578W</t>
  </si>
  <si>
    <t>B55693279</t>
  </si>
  <si>
    <t>ZOOETHICS ETHICAL ANIMAL PROJECT S.L</t>
  </si>
  <si>
    <t>JOANA MILLET ARIAS</t>
  </si>
  <si>
    <t xml:space="preserve">CONSELL ESPORTIU ALT PENEDÈS </t>
  </si>
  <si>
    <t>HABITALIA CONSULTING. SALVADOR OLIVÉ JUVÉ</t>
  </si>
  <si>
    <t>MESTRAS VIDEOCINEMA II S.L.U</t>
  </si>
  <si>
    <t>MARIA LOURDES SALOMON (PALETS DE LUJO)</t>
  </si>
  <si>
    <t>SALUT I EDUCACIÓ EMOCIONAL S.L</t>
  </si>
  <si>
    <t xml:space="preserve">JAVAJAN INTERNET SERVICES </t>
  </si>
  <si>
    <t>1519/2020/CMN</t>
  </si>
  <si>
    <t>1527/2020/CMN</t>
  </si>
  <si>
    <t>1528/2020/CMN</t>
  </si>
  <si>
    <t>1543/2020/CMN</t>
  </si>
  <si>
    <t>1553/2020/CMN</t>
  </si>
  <si>
    <t xml:space="preserve">Servei de informació en lìnea d'iniciació al monitoratge de lleure i esport adreçada a joves de 15 a 17 anys emmarcat en la programació d'activitas estiu-tardor 2020, Adreçades a diferents franges d'edat entre els 12 i els 30 anys </t>
  </si>
  <si>
    <t>Servei de mensatgeria d'entrega i recollida de la neteja i manteniment de la perruca de la visita Modernista.</t>
  </si>
  <si>
    <t>Servei de l'espectacle Trobairiz a càrrec  de la companyia Micro Troupe pel dia 20 de setembre a les 12h al Clautre de Sant Francesc</t>
  </si>
  <si>
    <t>Servei de disseny , programació, coordinació i execusió d'activitats en el medi natural per oferir dins el marc de la programació de l'H2oci, incloent el personal especialitzat i adecuat normativament per l'activitat, els materials de protecció individual i per paticipant establert per les condicions epidemiològiques, els equipaments materials necessaris en el número i qualitat ajustada a l'actividad, el seu transport, les assegurances correponents i tot allò que sigui exigible pel desenvolupament de l'activitat en las condicions sanitàries actuals.</t>
  </si>
  <si>
    <t>Contractació de la "Redacció i disseny de participació ciutadana del Pla Local d'Habitatge".</t>
  </si>
  <si>
    <t>B62410436</t>
  </si>
  <si>
    <t>G63125322</t>
  </si>
  <si>
    <t>B17933508</t>
  </si>
  <si>
    <t>B63800205</t>
  </si>
  <si>
    <t>TIPSA KODATA DISTRIBUCIÓ S.L</t>
  </si>
  <si>
    <t xml:space="preserve">MICRO TROUPE </t>
  </si>
  <si>
    <t>ESPORTEC OUTDOOR SPORT S.L</t>
  </si>
  <si>
    <t>GMG GESTIÓ I PARTICIPACIÓ CIUTADANA S.L</t>
  </si>
  <si>
    <t>1558/2020/CMN</t>
  </si>
  <si>
    <t>1561/2020/CMN</t>
  </si>
  <si>
    <t>1564/2020/CMN</t>
  </si>
  <si>
    <t>1566/2020/CMN</t>
  </si>
  <si>
    <t>1571/2020/CMN</t>
  </si>
  <si>
    <t>1574/2020/CMN</t>
  </si>
  <si>
    <t>1575/2020/CMN</t>
  </si>
  <si>
    <t>1584/2020/CMN</t>
  </si>
  <si>
    <t>1585/2020/CMN</t>
  </si>
  <si>
    <t>1589/2020/CMN</t>
  </si>
  <si>
    <t>1601/2020/CMN</t>
  </si>
  <si>
    <t>1616/2020/CMN</t>
  </si>
  <si>
    <t>1620/2020/CMN</t>
  </si>
  <si>
    <t>1624/2020/CMN</t>
  </si>
  <si>
    <t xml:space="preserve">Servei d'actualització dels continguts estàtic de la web del Teatre Cal Bolet i l'Auditori Municipal de Vilafranca del Penedès </t>
  </si>
  <si>
    <t xml:space="preserve">Servei del comissariat de l'exposició "L'Atzar és Breu" </t>
  </si>
  <si>
    <t>Servei de coordinació a càrrec d'Ivó Jordà per als Tallers d'instruments tradicionals 2020</t>
  </si>
  <si>
    <t xml:space="preserve">Servei de coordinació a càrrec de l'Iris Gayete per als tallers d'instruments tradicionals 2020 </t>
  </si>
  <si>
    <t xml:space="preserve">Servei de formació al taller de Lettering, adreçat a joves de 16 a 30 anys, emmarcat en la programació d'activitas estiu-tardor 2020. Adreçades a diferents franges d'edat entre els 12 i 30anys a L'Espai Jove La Nau de L'Ajuntament de Vilafranca del Penedès </t>
  </si>
  <si>
    <t xml:space="preserve">Servei de formació al taller de Bijuteria de reciclatge adreçada a joves de 16 a 30 anys emmarcat en la programació d'activitas d'estiu-tardor, adreçades a diferents franges d'edat entre els 12 i 30 anys </t>
  </si>
  <si>
    <t xml:space="preserve">Servei de formació al taller "Tasta APP's" adreçada a joves de 16 a 30 anys emmarcat en la programació d'activitats d'estiu-tardor, adreçades a diferents franges d'edat entre els 12 i els 30 anys </t>
  </si>
  <si>
    <t>Contractar el drets d'extensió pel subministrament elèctric per al Nou Institut al carrer Plàtans 2</t>
  </si>
  <si>
    <t xml:space="preserve">Contractació per construir escomesa elèctrica per nou quadra d'enllumenat en la Pl.de l'Oli </t>
  </si>
  <si>
    <t xml:space="preserve">Subministrament de mobles de cuina pels habitatges amb finalitat social del carrer de La Vinya </t>
  </si>
  <si>
    <t xml:space="preserve">Subministrament de portes per als habitatges del carrer de La Vinya </t>
  </si>
  <si>
    <t>Contractació del servei de controladors d'accés i informadors a les cases i espais participants en l'esdeveniment Obrim Vilafranca 2020</t>
  </si>
  <si>
    <t xml:space="preserve">Servei de restauració de la imatge de San Felix </t>
  </si>
  <si>
    <t xml:space="preserve">Subministrament de material divers d'oficina per a activitats organitzades pel Servei de Joventut </t>
  </si>
  <si>
    <t>JAVAJAN INTERNET SERVICES</t>
  </si>
  <si>
    <t xml:space="preserve">ANTONI MORENO BUJARDÓN </t>
  </si>
  <si>
    <t xml:space="preserve">ASSOCIACIÓ CULTURAL ACTURA </t>
  </si>
  <si>
    <t xml:space="preserve">ESCOLA MUNICIPAL D'ART ARSENAL </t>
  </si>
  <si>
    <t>EDISTIBUCIÓN REDES DIGITALES S.L.U</t>
  </si>
  <si>
    <t>EDISTRIBUCION REDES DIGITALES S.L.U</t>
  </si>
  <si>
    <t>CANET FUSTES I DERIVATS S.L</t>
  </si>
  <si>
    <t xml:space="preserve">JOSEP MARIA FELIU ROCA </t>
  </si>
  <si>
    <t>VINCEU MUSEU DE LES SULTURES DEL VI DE CATALUNYA</t>
  </si>
  <si>
    <t>ESPAI TOT PER L'OFICINA S.L</t>
  </si>
  <si>
    <t>77281946Z</t>
  </si>
  <si>
    <t>G67132720</t>
  </si>
  <si>
    <t>P0800233I</t>
  </si>
  <si>
    <t>B62007232</t>
  </si>
  <si>
    <t>46631610F</t>
  </si>
  <si>
    <t>G62183702</t>
  </si>
  <si>
    <t>1625/2020/CMN</t>
  </si>
  <si>
    <t>1627/2020/CMN</t>
  </si>
  <si>
    <t>1633/2020/CMN</t>
  </si>
  <si>
    <t>1647/2020/CMN</t>
  </si>
  <si>
    <t>1648/2020/CMN</t>
  </si>
  <si>
    <t>1649/2020/CMN</t>
  </si>
  <si>
    <t>1650/2020/CMN</t>
  </si>
  <si>
    <t>1651/2020/CMN</t>
  </si>
  <si>
    <t>1653/2020/CMN</t>
  </si>
  <si>
    <t>1656/2020/CMN</t>
  </si>
  <si>
    <t>1658/2020/CMN</t>
  </si>
  <si>
    <t>1660/2020/CMN</t>
  </si>
  <si>
    <t>1665/2020/CMN</t>
  </si>
  <si>
    <t>1666/2020/CMN</t>
  </si>
  <si>
    <t>1668/2020/CMN</t>
  </si>
  <si>
    <t>1669/2020/CMN</t>
  </si>
  <si>
    <t>1670/2020/ CMN</t>
  </si>
  <si>
    <t>1679/2020/CMN</t>
  </si>
  <si>
    <t xml:space="preserve">Subministrament de material tècnic específic per a la retransmissió en streaming d'espectacles, en el marc de les activitats organitzades pel Servei de Joventut a l'Espai Jove de La Nau  </t>
  </si>
  <si>
    <t xml:space="preserve">Contractar el servei de sonorització per a la realització de diferents espectacles de les Escenes fresques, adreçats a joves de 16 a 30 anys en el marc de les  activitas d'estiu-tardor organitzades pel Servei de Juventut a l'Espai Jove de La Nau </t>
  </si>
  <si>
    <t xml:space="preserve">Contractar servei de neteja de la senyalització turística de Vilafranca del Penedès </t>
  </si>
  <si>
    <t xml:space="preserve">Contractar Coordinador de Seguretat i Salut per les obres d'instalacions dues fotolineres aparcament "Agora" </t>
  </si>
  <si>
    <t xml:space="preserve">Contractació de un consultor per realitzar visites de sensibilització sostenible en el marc de la certificació Biosphere a les empreses sector turìstic </t>
  </si>
  <si>
    <t>Contractació de la publicitat de la campanya de comerç Vilafrancs</t>
  </si>
  <si>
    <t>Contractació de l'espectacle "Terra, Mar i Aire"</t>
  </si>
  <si>
    <t>Contractació de publicitat de la campanya de comerç Vilafrancs</t>
  </si>
  <si>
    <t xml:space="preserve">Contractació de l'espectacle "La Mort" de Olga Alverez Montaner, emes per Penedès Televisió </t>
  </si>
  <si>
    <t xml:space="preserve">Contractació de l'espectacle Bohemian Rhapsody de Jordi Mestres Qué, emes per Penedès Televisió </t>
  </si>
  <si>
    <t xml:space="preserve">Servei de formació als tallers de sostenibilitat ambiental adreçat a joves de 16 a 30 anys, en el marc de la programació d'activitas estiu-tardor 2020 a l'espai Jove de La Nau </t>
  </si>
  <si>
    <t>Contractació de l'espectacle Pèsols congelats, l'Onada de Núria Tort Armengol</t>
  </si>
  <si>
    <t xml:space="preserve">Contractació de l'espectacle Càrrega de Helena Rodriguez Torrijos, emes per Penedès Televisió  </t>
  </si>
  <si>
    <t xml:space="preserve">Contractació de servei de redacció de projecte i de direcció de les obres per a reforçar l'estructura de la coberta del Teatre Cal Bolet de Vilafranca </t>
  </si>
  <si>
    <t xml:space="preserve">Contractació de l'espectacle Eufònia de Genís Laguna Salvadó, emes per Penedès Televisió </t>
  </si>
  <si>
    <t xml:space="preserve">Contractació de l'espectacle Pas a pas de Marina Solé Albornà, emes per Penedès Televisió </t>
  </si>
  <si>
    <t xml:space="preserve">Contractació de l'espectacle Pèsols Congelats, de Laura Aubert, emes per Penedès Televisió  </t>
  </si>
  <si>
    <t xml:space="preserve">Contractació de l'actuació musical de l'Associació Musical ZeBRASS amb l'espectacle "SomPell" en el marc de la programació del cicle Escenes Fresques, cicle d'espectacles emergents a l'Espai Jove La Nau </t>
  </si>
  <si>
    <t>B64849243</t>
  </si>
  <si>
    <t>B61311866</t>
  </si>
  <si>
    <t>38559028B</t>
  </si>
  <si>
    <t>46777223F</t>
  </si>
  <si>
    <t>46634983E</t>
  </si>
  <si>
    <t>77119673Y</t>
  </si>
  <si>
    <t>47129597K</t>
  </si>
  <si>
    <t>77320287Z</t>
  </si>
  <si>
    <t>77122724K</t>
  </si>
  <si>
    <t>B66526310</t>
  </si>
  <si>
    <t>48021733X</t>
  </si>
  <si>
    <t>47842934J</t>
  </si>
  <si>
    <t>46408158T</t>
  </si>
  <si>
    <t>G65862781</t>
  </si>
  <si>
    <t>INFORMATICA I MES S.L</t>
  </si>
  <si>
    <t>FIF DOMONT S.L</t>
  </si>
  <si>
    <t>NOU SET EMPRESA D'INSERCIÓ S.C.C.L</t>
  </si>
  <si>
    <t>XAVIER BORRAS LLEBARIA</t>
  </si>
  <si>
    <t xml:space="preserve">LAIA CARRERAS VILAGRAN </t>
  </si>
  <si>
    <t xml:space="preserve">PUBLICACIONS PENDEDES S.A </t>
  </si>
  <si>
    <t xml:space="preserve">OLGA ALVEREZ MONTANER </t>
  </si>
  <si>
    <t>JORDI MESTRES QUÉ</t>
  </si>
  <si>
    <t xml:space="preserve">BERTA GARRIGA GARRIGA </t>
  </si>
  <si>
    <t xml:space="preserve">NURIA TORT ARMENGOL </t>
  </si>
  <si>
    <t xml:space="preserve">HELENA RODRIGUEZ TORRIJOS </t>
  </si>
  <si>
    <t>OTHERSTRUCTURES S.L.P</t>
  </si>
  <si>
    <t xml:space="preserve">GENÍS LAGUNA SALVADÓ </t>
  </si>
  <si>
    <t xml:space="preserve">MARINA SOLÉ ALBORNÀ </t>
  </si>
  <si>
    <t>LAURA AUBERT</t>
  </si>
  <si>
    <t>ASSOCIACIÓ MUSICAL ZEBRASS</t>
  </si>
  <si>
    <t>1689/2020/CMN</t>
  </si>
  <si>
    <t>1690/2020/CMN</t>
  </si>
  <si>
    <t>1694/2020/CMN</t>
  </si>
  <si>
    <t>1698/2020/CMN</t>
  </si>
  <si>
    <t>1699/2020/CMN</t>
  </si>
  <si>
    <t>Subministrament i instal·lació de I'intercanviador 250 KW i realitzar treballs de reparació al sistema hidràulic d'ACS (Aigua Calenta Sanitària) de la caldera de la biomassa, camp de furbol 1 de la zona esportiva municipal</t>
  </si>
  <si>
    <t xml:space="preserve">Contractació de l'espectacle Males Llengües, de Júlia Diaz, emes per Penedès Televisió </t>
  </si>
  <si>
    <t xml:space="preserve">Contractació del servei artístic de actuació de màgia de Pep Aizpitarte Via </t>
  </si>
  <si>
    <t xml:space="preserve">Contractar un anunci de 2 pàgines per un publireportatge a l'edició de setembre a la revista Turisme Catalunya </t>
  </si>
  <si>
    <t xml:space="preserve">Contractació de servei de imatge gràfica i subministrament d'un monòlit per senyalitzar la parròquia de Santa María del Horts </t>
  </si>
  <si>
    <t>47745267G</t>
  </si>
  <si>
    <t>47746146D</t>
  </si>
  <si>
    <t>B25814815</t>
  </si>
  <si>
    <t>B25590084</t>
  </si>
  <si>
    <t>JULIA DIAZ AMELA</t>
  </si>
  <si>
    <t xml:space="preserve">PEP AIZPITARTE VIA </t>
  </si>
  <si>
    <t>MAGAZINEPUBLICACIONES MEDIA S.L</t>
  </si>
  <si>
    <t>GEOSILVA PROJECTES S.L</t>
  </si>
  <si>
    <t>1715/2020/CMN</t>
  </si>
  <si>
    <t>1716/2020/CMN</t>
  </si>
  <si>
    <t>1734/2020/CMN</t>
  </si>
  <si>
    <t>1737/2020/CMN</t>
  </si>
  <si>
    <t>1742/2020/CMN</t>
  </si>
  <si>
    <t>1744/2020/CMN</t>
  </si>
  <si>
    <t>1745/2020/CMN</t>
  </si>
  <si>
    <t>1746/2020/CMN</t>
  </si>
  <si>
    <t>1747/2020/CMN</t>
  </si>
  <si>
    <t>1760/2020/CMN</t>
  </si>
  <si>
    <t>1761/2020/CMN</t>
  </si>
  <si>
    <t>1764/2020/CMN</t>
  </si>
  <si>
    <t>1765/2020/CMN</t>
  </si>
  <si>
    <t>Servei del control d’accés a l’Alberg Humanitari per la campanya de la Verema 2020.</t>
  </si>
  <si>
    <t>Contractació d'una neteja urgent del pis situat a CARRER TORRELLES DE FOIX 21 5 2, a petició de Serveis Socials</t>
  </si>
  <si>
    <t>Servei d'actuació de Santiago Carcasona Utrero dins el cicle d'escenes fresques de l'Espai Jove La Nau</t>
  </si>
  <si>
    <t>Contractació del Taller d'estratègia i creació de contingut de valor</t>
  </si>
  <si>
    <t>Contractació de la formació "Vendes per no venedors: 10 consell per superar el repte de vendre"</t>
  </si>
  <si>
    <t>Contractació de la formació "Costos, marges i beneficis. Per què no ès el mateix facturar que guanyar diners"</t>
  </si>
  <si>
    <t>Subministrament d'una taula d'oficina</t>
  </si>
  <si>
    <t>Subministrament d’un micròfon de mà SHURE SM-58</t>
  </si>
  <si>
    <t>B65489528</t>
  </si>
  <si>
    <t>B67254581</t>
  </si>
  <si>
    <t>33945491K</t>
  </si>
  <si>
    <t>45470245G</t>
  </si>
  <si>
    <t>37741000R</t>
  </si>
  <si>
    <t>B66134743</t>
  </si>
  <si>
    <t>BS QUALITY STAFF S.L</t>
  </si>
  <si>
    <t>GUIMPLUS S.L</t>
  </si>
  <si>
    <t>SANTIAGO CARCASONA UTRERO</t>
  </si>
  <si>
    <t>MONTSERRAT CODINA FARRIOL</t>
  </si>
  <si>
    <t xml:space="preserve">MONTSE RAMOS SANCHEZ </t>
  </si>
  <si>
    <t>SCONSULTORS VALLÉS EXPORTACIÓ</t>
  </si>
  <si>
    <t>PUBLICACIONS PENEDÈS S.A</t>
  </si>
  <si>
    <t xml:space="preserve">ELECTRONICA MITJANS ENERGIA I TELECOMUNICACIONES </t>
  </si>
  <si>
    <t>1766/2020/CMN</t>
  </si>
  <si>
    <t>1767/2020/CMN</t>
  </si>
  <si>
    <t>1769/2020/CMN</t>
  </si>
  <si>
    <t>1771/2020/CMN</t>
  </si>
  <si>
    <t>1780/2020/CMN</t>
  </si>
  <si>
    <t>1789/2020/CMN</t>
  </si>
  <si>
    <t>1801/2020/CMN</t>
  </si>
  <si>
    <t>1803/2020/CMN</t>
  </si>
  <si>
    <t>1804/2020/CMN</t>
  </si>
  <si>
    <t>1824/2020/CMN</t>
  </si>
  <si>
    <t>1830/2020/CMN</t>
  </si>
  <si>
    <t>1831/2020/CMN</t>
  </si>
  <si>
    <t>1839/2020/CMN</t>
  </si>
  <si>
    <t>1840/2020/CMN</t>
  </si>
  <si>
    <t>1841/2020/CMN</t>
  </si>
  <si>
    <t>Servei de formació sobre el benestar personal femení a l'espai jove la Nau</t>
  </si>
  <si>
    <t xml:space="preserve">Subministrament de material elèctric de reserva per l’Auditori i Cal Bolet  </t>
  </si>
  <si>
    <t>Instal·lació alarma Casa Festa Major</t>
  </si>
  <si>
    <t>Servei de  realització de l’espectacle “Tot dorm” al Claustre de Sant Francesc el dia 31 de juliol de 2020</t>
  </si>
  <si>
    <t xml:space="preserve">Contractació de servei de Coordinació de Seguretat i Salut de les obres Re-urbanització de la Plaça de l'Oli de Vilafranca </t>
  </si>
  <si>
    <t>Compra de 3 mampares de protecció per la COVID-19 a l'Ajuntament.</t>
  </si>
  <si>
    <t>Subministrament material divers coberteria, plats, gots i gerres d'aigua per a la cuina de l'Alberg Municipal de Joventut</t>
  </si>
  <si>
    <t xml:space="preserve">Subministrament de 9 dispensadors de gel hidroalcohòlic amb pedal per l’Auditori i Cal Bolet  </t>
  </si>
  <si>
    <t>Contractació de Servei d'intervenció amb joves  a través del Teatre adreçat a joves de 13 a 30 anys a l'Espai Jove La Nau</t>
  </si>
  <si>
    <t>Contractació docents mòdul Prevenció de Riscos Laborals-PRL de 70 hores de durada, pel programes PFI d'Auxiliar d'hoteleria: cuina i serveis de restauració i Auxiliar d'imatge personal: perruqueria i estètica.</t>
  </si>
  <si>
    <t xml:space="preserve">Contractació dels serveis de consultoria per a la licitació del nou contracta del servei de bus urbà </t>
  </si>
  <si>
    <t>Contractació del docent per a impartir les 180 hores de pràctiques del PFI-Auxiliar d'imatge personal: perruqeria i estètica.</t>
  </si>
  <si>
    <t>Contractació de Servei artístic al concert de Pol Cardona &amp; The Sparkles el dia 19-08-2020. Programació d'activitats organitzades
pel Servei de Joventut a l'espai jove La Nau</t>
  </si>
  <si>
    <t>Contractació de Servei artístic a les actuacions de monòlegs el dia 9-09-2020 a l'Espai Jove La Nau</t>
  </si>
  <si>
    <t>B65433740</t>
  </si>
  <si>
    <t>B24277113</t>
  </si>
  <si>
    <t>B58484015</t>
  </si>
  <si>
    <t>B55649057</t>
  </si>
  <si>
    <t xml:space="preserve"> 77098325W</t>
  </si>
  <si>
    <t>B08164253</t>
  </si>
  <si>
    <t>B59987529</t>
  </si>
  <si>
    <t>B65758427</t>
  </si>
  <si>
    <t>35118358A</t>
  </si>
  <si>
    <t>77315097E</t>
  </si>
  <si>
    <t>B66773045</t>
  </si>
  <si>
    <t>77104285M</t>
  </si>
  <si>
    <t>G25797168</t>
  </si>
  <si>
    <t>G67128017</t>
  </si>
  <si>
    <t>F67026658</t>
  </si>
  <si>
    <t>DESCOBERTA S.L.U</t>
  </si>
  <si>
    <t>SILUJ ILUMINACION S.L</t>
  </si>
  <si>
    <t>DIGITTECNIC S.L</t>
  </si>
  <si>
    <t>COOPULA EDITORIAL S.L</t>
  </si>
  <si>
    <t>SALVADOR OLIVÉ I JUVÉR</t>
  </si>
  <si>
    <t>PELLISA RÀFOLS S.L</t>
  </si>
  <si>
    <t>OMS Y VIÑAS S.L</t>
  </si>
  <si>
    <t>BENITO URBAN S.L.U</t>
  </si>
  <si>
    <t>ACTURA 12 S.L</t>
  </si>
  <si>
    <t xml:space="preserve">MARGARITA CASAS COLLADO </t>
  </si>
  <si>
    <t>ROSA AYALA ZAMUDIO</t>
  </si>
  <si>
    <t>SINOB
MOBILITAT S.L</t>
  </si>
  <si>
    <t xml:space="preserve">MOISES BARGUES ASTURIAS </t>
  </si>
  <si>
    <t>ASSOCIACIO BLUES EVENTS</t>
  </si>
  <si>
    <t xml:space="preserve">  ASSOCIACIÓ BLACKCUGAT</t>
  </si>
  <si>
    <t>NUS PROCESSOS SOCIALS I CREATIUS</t>
  </si>
  <si>
    <t>1770/2020/CMN</t>
  </si>
  <si>
    <t>Servei de formació on-line amb joves a través de l'Arteràpia, adreçat a joves de 20 a 30 anys, en el
marc de la programació d'activitats tardor-hivern 2020 a l'espai jove la Nau</t>
  </si>
  <si>
    <t>Servei artístic al concert musical Aisha Fay del dia 19-08-2020 de projecció de cinema a la fresca a l'espai jove la Nau</t>
  </si>
  <si>
    <t>1826/2020/CMN</t>
  </si>
  <si>
    <t>Contractació del mòdul d'estètica de 160 hores del PFI Auxiliar d'imatge personal: perruqueria i estètica.</t>
  </si>
  <si>
    <t>Elisenda Comín Díaz</t>
  </si>
  <si>
    <t>46814809B</t>
  </si>
  <si>
    <t>2519/2020/CMN</t>
  </si>
  <si>
    <t>Subministrament de 3 llicències de programari especialitzat en cartografia topogràfica i formació específica</t>
  </si>
  <si>
    <t>B62687140</t>
  </si>
  <si>
    <t>INFRAPLAN BARCELONA SL</t>
  </si>
  <si>
    <t>1842/2020/CMN</t>
  </si>
  <si>
    <t>1848/2020/CMN</t>
  </si>
  <si>
    <t>1851/2020/CMN</t>
  </si>
  <si>
    <t>1855/2020/CMN</t>
  </si>
  <si>
    <t>1856/2020/CMN</t>
  </si>
  <si>
    <t>1857/2020/CMN</t>
  </si>
  <si>
    <t>1863/2020/CMN</t>
  </si>
  <si>
    <t>1864/2020/CMN</t>
  </si>
  <si>
    <t>1867/2020/CMN</t>
  </si>
  <si>
    <t>1888/2020/CMN</t>
  </si>
  <si>
    <t>1905/2020/CMN</t>
  </si>
  <si>
    <t>1909/2020/CMN</t>
  </si>
  <si>
    <t>1911/2020/CMN</t>
  </si>
  <si>
    <t>1916/2020/CMN</t>
  </si>
  <si>
    <t>1922/2020/CMN</t>
  </si>
  <si>
    <t>1924/2020/CMN</t>
  </si>
  <si>
    <t>1929/2020/CMN</t>
  </si>
  <si>
    <t>1936/2020/CMN</t>
  </si>
  <si>
    <t>1946/2020/CMN</t>
  </si>
  <si>
    <t>1958/2020/CMN</t>
  </si>
  <si>
    <t>1959/2020/CMN</t>
  </si>
  <si>
    <t>1964/2020/CMN</t>
  </si>
  <si>
    <t>1965/2020/CMN</t>
  </si>
  <si>
    <t>1973/2020/CMN</t>
  </si>
  <si>
    <t>Contractació de Servei artístic a l'actuació teatral a través del gènere del cabaret el dia 16-09-2020 a l'Espai Jove de La Nau</t>
  </si>
  <si>
    <t xml:space="preserve">Contractar la confecció i subministre d'una lona publicitària de gran format de 3000 x 2000 mm per a la campanya Vilafrancs </t>
  </si>
  <si>
    <t>Contractació de un anunici de publicitat per la campanya Vilafrancs en el setmanari d'El 3 De Vuit els dies 14 i 21 d'agost</t>
  </si>
  <si>
    <t xml:space="preserve">Servei de manteniment de la zona plantada i enjardinada, així com la gestió de la zona d’esbarjo a l’espai “ Muntanya de Sant Jaume”, per un període de tres mesos </t>
  </si>
  <si>
    <t>Contractació de la publicitat de
la campanya de comerç Vilafrancs, per 2 setmanes.</t>
  </si>
  <si>
    <t>Servei de formació en l'ambit audiovisual i multimèdia, amb joves de 13a 30 anys</t>
  </si>
  <si>
    <t xml:space="preserve">Servei de formació en l'ambit de les competències digitals per a joves de 13 a 30 anys </t>
  </si>
  <si>
    <t>Contractació de la confecció de flyers publicitaris per la campanya Vilafrancs</t>
  </si>
  <si>
    <t>Representació de l'espectacle  Peix, al Claustre Trinitaris  interpretat per Associació La Persiana que es celebrarà el dia 25 de setembre 2020.</t>
  </si>
  <si>
    <t>Representació de l'espectacle Lo Nuestro, al Teatre Cal Bolet  interpretat per Flyhard produccions que es celebrarà el dia 16 d'octubre 2020.</t>
  </si>
  <si>
    <t>Contractació de l'espectacle Concert de Wind, a l'Auditori Municipal interpretat per Associació Musical Windu. Que tindrà lloc a l'Auditori Municipal</t>
  </si>
  <si>
    <t>Contractació de l'espectacle Apologies Is It de Jolly
Damper. Que tindrà lloc al Claustre dels Trinitaris</t>
  </si>
  <si>
    <t>Contractació una campanya de
Publicitat de Promoció Turística del Penedès estiu – tardor 2020, coordinada amb el Consorci de
Promoció Turística del Penedès,</t>
  </si>
  <si>
    <t>Contractació del servei de repartiment de cartells i fulletons per promocionar l'esdeveniment Obrim Vilafranca</t>
  </si>
  <si>
    <t>Contractació de Servei de cabines sanitàries pel
funcionament de l'Alberg Humanitari en el període de Campanya de la Verema 2020</t>
  </si>
  <si>
    <t>Contractació del servei de publicitat per fer difusió de l'esdeveniment Obrim Vilafranca.</t>
  </si>
  <si>
    <t>Contractació del servei de publicitat al El 3 De Vuit per fer difusió de l'esdeveniment Obrim Vilafranc</t>
  </si>
  <si>
    <t>Contractació dels serveis d'una professional per dur a terme la segona part del taller d'Art Teràpia,</t>
  </si>
  <si>
    <t>Contractació de la representació de l'espectacle Kill a Feeling de Carla. Que tindrà lloc al Claustre dels Trinitaris</t>
  </si>
  <si>
    <t>Contractar el servei de manteniment del nou ascensor de la Casa de la Festa Major.</t>
  </si>
  <si>
    <t>Contractació d'un fotògraf/a
per a la realització d'un banc de fotos pel servei de Turisme</t>
  </si>
  <si>
    <t>Realitzar l'acondicionament d'una segona entrada a la llar d'infants el Parquet degut a les
necessitats generades pel COVID19</t>
  </si>
  <si>
    <t>Contractació del servei de traducció al castellà així com la correcció al català dels textos explicatius de la part gràfica de l'exposició de la Casa de la Festa Major</t>
  </si>
  <si>
    <t>G67281105</t>
  </si>
  <si>
    <t>B64958838</t>
  </si>
  <si>
    <t>33968171T</t>
  </si>
  <si>
    <t>B61617775</t>
  </si>
  <si>
    <t>G66262304</t>
  </si>
  <si>
    <t>G67352419</t>
  </si>
  <si>
    <t>B94180965</t>
  </si>
  <si>
    <t>B60988078</t>
  </si>
  <si>
    <t>B99487332</t>
  </si>
  <si>
    <t>B08261265</t>
  </si>
  <si>
    <t>046634308Z</t>
  </si>
  <si>
    <t>B60143377</t>
  </si>
  <si>
    <t>35005829J</t>
  </si>
  <si>
    <t xml:space="preserve">ASSOCIACIÓ TANDEM PRODUCCIONS </t>
  </si>
  <si>
    <t>IMAGIART S.L</t>
  </si>
  <si>
    <t>NOU VERD S.C.C.L</t>
  </si>
  <si>
    <t>PUNTUAJOCS S.L</t>
  </si>
  <si>
    <t>MARCGO CONSULTORIA  (DAVID GONZALEZ MARTINEZ)</t>
  </si>
  <si>
    <t>GRAFIQUES VOISIN MATEU</t>
  </si>
  <si>
    <t>ASSOCIACIÓ LA PERSIANA</t>
  </si>
  <si>
    <t>ASSOCIACIO MUSICAL WINDU</t>
  </si>
  <si>
    <t>ART I SO 4 GATS S.L</t>
  </si>
  <si>
    <t>DISTPUBLIC SERVICIOS DE PUBLICIDAD S.L</t>
  </si>
  <si>
    <t>TOI TOI SANITARIOS MÓVILES  S.A</t>
  </si>
  <si>
    <t>PUBLICACIONS PENEDES S.A</t>
  </si>
  <si>
    <t xml:space="preserve">MARGA CASAS </t>
  </si>
  <si>
    <t>CULTURA ATÓMICA S.L.U</t>
  </si>
  <si>
    <t>ASCENSORES GALO, S.L.U</t>
  </si>
  <si>
    <t>CARLES FORTUNY</t>
  </si>
  <si>
    <t>EXCAVACIONS CHE S.L</t>
  </si>
  <si>
    <t>GLÒRIA BOHIGAS ARNAU</t>
  </si>
  <si>
    <t>2525/2020/CMN</t>
  </si>
  <si>
    <t>2526/2020/CMN</t>
  </si>
  <si>
    <t>2532/2020/CMN</t>
  </si>
  <si>
    <t>2533/2020/CMN</t>
  </si>
  <si>
    <t>2534/2020/CMN</t>
  </si>
  <si>
    <t>2535/2020/CMN</t>
  </si>
  <si>
    <t>2541/2020/CMN</t>
  </si>
  <si>
    <t>2542/2020/CMN</t>
  </si>
  <si>
    <t>2543/2020/CMN</t>
  </si>
  <si>
    <t>2544/2020/CMN</t>
  </si>
  <si>
    <t>2545/2020/CMN</t>
  </si>
  <si>
    <t>2546/2020/CMN</t>
  </si>
  <si>
    <t>2547/2020/CMN</t>
  </si>
  <si>
    <t>2549/2020/CMN</t>
  </si>
  <si>
    <t>2561/2020/CMN</t>
  </si>
  <si>
    <t>2563/2020/CMN</t>
  </si>
  <si>
    <t>2564/2020/CMN</t>
  </si>
  <si>
    <t>2565/2020/CMN</t>
  </si>
  <si>
    <t>2566/2020/CMN</t>
  </si>
  <si>
    <t>2567/2020/CMN</t>
  </si>
  <si>
    <t>2569/2020/CMN</t>
  </si>
  <si>
    <t>2572/2020/CMN</t>
  </si>
  <si>
    <t>2578/2020/CMN</t>
  </si>
  <si>
    <t>2582/2020/CMN</t>
  </si>
  <si>
    <t>2587/2020/CMN</t>
  </si>
  <si>
    <t>2588/2020/CMN</t>
  </si>
  <si>
    <t>2589/2020/CMN</t>
  </si>
  <si>
    <t>2596/2020/CMN</t>
  </si>
  <si>
    <t>2597/2020/CMN</t>
  </si>
  <si>
    <t>2600/2020/CMN</t>
  </si>
  <si>
    <t>2601/2020/CMN</t>
  </si>
  <si>
    <t>2603/2020/CMN</t>
  </si>
  <si>
    <t>2607/2020/CMN</t>
  </si>
  <si>
    <t>2608/2020/CMN</t>
  </si>
  <si>
    <t>2613/2020/CMN</t>
  </si>
  <si>
    <t>2616/2020/CMN</t>
  </si>
  <si>
    <t>2620/2020/CMN</t>
  </si>
  <si>
    <t>2626/2020/CMN</t>
  </si>
  <si>
    <t>2630/2020/CMN</t>
  </si>
  <si>
    <t>2631/2020/CMN</t>
  </si>
  <si>
    <t>2632/2020/CMN</t>
  </si>
  <si>
    <t>2633/2020/CMN</t>
  </si>
  <si>
    <t>2641/2020/CMN</t>
  </si>
  <si>
    <t>2643/2020/CMN</t>
  </si>
  <si>
    <t>2644/2020/CMN</t>
  </si>
  <si>
    <t>2649/2020/CMN</t>
  </si>
  <si>
    <t>2654/2020/CMN</t>
  </si>
  <si>
    <t>2657/2020/CMN</t>
  </si>
  <si>
    <t>2659/2020/CMN</t>
  </si>
  <si>
    <t>2660/2020/CMN</t>
  </si>
  <si>
    <t>2662/2020/CMN</t>
  </si>
  <si>
    <t>2667/2020/CMN</t>
  </si>
  <si>
    <t>2669/2020/CMN</t>
  </si>
  <si>
    <t>2670/2020/CMN</t>
  </si>
  <si>
    <t>2674/2020/CMN</t>
  </si>
  <si>
    <t>2675/2020/CMN</t>
  </si>
  <si>
    <t>2678/2020/CMN</t>
  </si>
  <si>
    <t>2679/2020/CMN</t>
  </si>
  <si>
    <t>2681/2020/CMN</t>
  </si>
  <si>
    <t>2682/2020/CMN</t>
  </si>
  <si>
    <t>2686/2020/CMN</t>
  </si>
  <si>
    <t>2687/2020/CMN</t>
  </si>
  <si>
    <t>2688/2020/CMN</t>
  </si>
  <si>
    <t>2691/2020/CMN</t>
  </si>
  <si>
    <t>2693/2020/CMN</t>
  </si>
  <si>
    <t>2697/2020/CMN</t>
  </si>
  <si>
    <t>2698/2020/CMN</t>
  </si>
  <si>
    <t>2699/2020/CMN</t>
  </si>
  <si>
    <t>2702/2020/CMN</t>
  </si>
  <si>
    <t>2703/2020/CMN</t>
  </si>
  <si>
    <t>2706/2020/CMN</t>
  </si>
  <si>
    <t>2719/2020/CMN</t>
  </si>
  <si>
    <t>2729/2020/CMN</t>
  </si>
  <si>
    <t>2731/2020/CMN</t>
  </si>
  <si>
    <t>2732/2020/CMN</t>
  </si>
  <si>
    <t>2735/2020/CMN</t>
  </si>
  <si>
    <t>2736/2020/CMN</t>
  </si>
  <si>
    <t>2746/2020/CMN</t>
  </si>
  <si>
    <t>2767/2020/CMN</t>
  </si>
  <si>
    <t>2770/2020/CMN</t>
  </si>
  <si>
    <t>2772/2020/CMN</t>
  </si>
  <si>
    <t>2775/2020/CMN</t>
  </si>
  <si>
    <t>2787/2020/CMN</t>
  </si>
  <si>
    <t>2792/2020/CMN</t>
  </si>
  <si>
    <t>2793/2020/CMN</t>
  </si>
  <si>
    <t>2794/2020/CMN</t>
  </si>
  <si>
    <t>2799/2020/CMN</t>
  </si>
  <si>
    <t>2803/2020/CMN</t>
  </si>
  <si>
    <t>2804/2020/CMN</t>
  </si>
  <si>
    <t>2810/2020/CMN</t>
  </si>
  <si>
    <t>2813/2020/CMN</t>
  </si>
  <si>
    <t>2817/2020/CMN</t>
  </si>
  <si>
    <t>2820/2020/CMN</t>
  </si>
  <si>
    <t>2822/2020/CMN</t>
  </si>
  <si>
    <t>2824/2020/CMN</t>
  </si>
  <si>
    <t>2830/2020/CMN</t>
  </si>
  <si>
    <t>2835/2020/CMN</t>
  </si>
  <si>
    <t>2840/2020/CMN</t>
  </si>
  <si>
    <t>2862/2020/CMN</t>
  </si>
  <si>
    <t>2863/2020/CMN</t>
  </si>
  <si>
    <t>2866/2020/CMN</t>
  </si>
  <si>
    <t>2868/2020/CMN</t>
  </si>
  <si>
    <t>2871/2020/CMN</t>
  </si>
  <si>
    <t>2884/2020/CMN</t>
  </si>
  <si>
    <t>2894/2020/CMN</t>
  </si>
  <si>
    <t>2896/2020/CMN</t>
  </si>
  <si>
    <t>2904/2020/CMN</t>
  </si>
  <si>
    <t>2912/2020/CMN</t>
  </si>
  <si>
    <t>2913/2020/CMN</t>
  </si>
  <si>
    <t>2962/2020CMN</t>
  </si>
  <si>
    <t>Subministrament de 10 unitats de bancs de fusta model Neobarcino</t>
  </si>
  <si>
    <t>Subministrament de 10 unitats de bancs de fusta model Modo</t>
  </si>
  <si>
    <t>Contractació del servei de publicitat de la Fira del Gall COVID-19 a EIX DIARI</t>
  </si>
  <si>
    <t>Contractació del servei de publicitat de la Fira del Gall COVID-19 a EL 3 DE VUIT</t>
  </si>
  <si>
    <t>Contractació del servei de publicitat de la Fira del Gall COVID-19 a EL CARGOL</t>
  </si>
  <si>
    <t>Contractació del servei de publicitat de la Fira del Gall COVID-19 a LA FURA</t>
  </si>
  <si>
    <t>Contractació del servei de publicitat de la Fira del Gall COVID-19 a ARA.CAT</t>
  </si>
  <si>
    <t>Contractació del servei de publicitat de la Fira del Gall COVID-19 a NACIÓ DIGITAL</t>
  </si>
  <si>
    <t>Contractació del servei de publicitat de la Fira del Gall COVID-19 a REGIÓ7</t>
  </si>
  <si>
    <t>Servei de producció i lloguer l’exposició “Desenterrant el silenci” a l’artista i historiador  Sergio Daniel Bernal Ferrando</t>
  </si>
  <si>
    <t xml:space="preserve">Contractació del servei de publicitat de la Fira del Gall COVID-19 a MÉS TARRAGONA </t>
  </si>
  <si>
    <t>Compra de 60 arbres, per posterior repsició d'arbrat viari i de zones verdes</t>
  </si>
  <si>
    <t xml:space="preserve">Contractació del servei de publicitat de la Fira del Gall COVID-19 a SURTDECASA </t>
  </si>
  <si>
    <t xml:space="preserve">Contractació del servei de xarxes socials de la Fira del Gall COVID-19 a INCÍS  </t>
  </si>
  <si>
    <t>Contractació pel servei de muntatge, retolació i manteniment de 28 plafons amb els dibuixos de les escoles per la Fira del Gall COVID-19.</t>
  </si>
  <si>
    <t>Subministrament de 50 cadires de fusta plegables.</t>
  </si>
  <si>
    <t>Anunci 2a edició campanya Vilafrancs en radio i televisió</t>
  </si>
  <si>
    <t>Subministrament de 20 unitats de suports de senyalització vertical d'alumini anoditzat plata de 60 mm de diàmetre i 4 m de longitud.</t>
  </si>
  <si>
    <t>Anunci 2a edició campanya vilafrancs en premsa</t>
  </si>
  <si>
    <t>Anunci 2a edició campanya Vilafrancs en premsa</t>
  </si>
  <si>
    <t>Subministrament i instal·lació de 2 coixins berlinesos a la Rbla de la Girada</t>
  </si>
  <si>
    <t>Condicionament talús Exi Via Av Barcelona / C/ Papiol s/ press 183.1_20</t>
  </si>
  <si>
    <t>Enquadernació de dos contes "Una primavera diferent" i "Carta als Reis Mags" per als infants de les escoles de Vilafranca del Penedès.</t>
  </si>
  <si>
    <t>Contractació del servei de publicitat de la Fira del Gall COVID-19 a RAC 1</t>
  </si>
  <si>
    <t xml:space="preserve">Contractació del servei de publicitat de la Fira del Gall COVID-19 a CATALUNYA RADIO </t>
  </si>
  <si>
    <t xml:space="preserve">Contractació del servei de publicitat de la Fira del Gall COVID-19 a CUINA </t>
  </si>
  <si>
    <t xml:space="preserve">Servei de neteja i desinfecció del magatzem del carrer del Comerç, 29 de Vilafranca del Penedès on està ubicada la Fàbrica de Joguines </t>
  </si>
  <si>
    <t>Servei d'instal.lació de quadres elèctrics per reforçar  la potència elèctrica de la nau del c/del comerç 29 "Fabrica de joguines del patge Raimon"</t>
  </si>
  <si>
    <t xml:space="preserve">Programació, impartició, coordinació, seguiment i avaluació d'accions formatives en línia adreçades a persones en situació d'atur o en recerca de millores en la seva ocupació </t>
  </si>
  <si>
    <t>Instal·lació d'un segon teclat a la instal·lació de l'alarma al mòdul de cuina del recinte de La Fassina</t>
  </si>
  <si>
    <t>Subministrament de 60 caixes  i 18 lámines de cartró ondulat per la Fàbrica de joguines</t>
  </si>
  <si>
    <t xml:space="preserve">Subministrament de 20 exemplars del llibre “El balcó màgic” </t>
  </si>
  <si>
    <t>Compra de 40 carretons serigrafiats per continuar amb la campanya "adeu plàstics"</t>
  </si>
  <si>
    <t>Servei psicològic del SIAD fins que es resolgui la licitació per aquest servei.</t>
  </si>
  <si>
    <t>Subministrament 50 exemplars del llibre Citacions(E)Vocacions de l’autor Fonxo Blanc Canyelles</t>
  </si>
  <si>
    <t>Subminstrament sistema videoconferències Logitech kit per edifici Enològica</t>
  </si>
  <si>
    <t>Il·luminació façana Santa Mària Campanya de Nadal</t>
  </si>
  <si>
    <t>Servei de disseny, construcció i teatralització del personatge itinerant GEMíNID, durant el període de Nadal</t>
  </si>
  <si>
    <t>Contractació del servei de WC per la Fira del Gall COVID-19.</t>
  </si>
  <si>
    <t>Servei de disseny i teatralització de l’espai “INSOMNIA” durant la campanya de Nadal-Reis.</t>
  </si>
  <si>
    <t>Contractació del servei de distribució de cartells per la Fira del Gall COVID-19.</t>
  </si>
  <si>
    <t>Servei de lloguer del vestuari dels tres Reis d'Orient</t>
  </si>
  <si>
    <t>Adquisició de 250 litres de gel hidroalvhòlic i 20 pots amb dosificador per posar als accessos dels mercats no sedentaris en compliment del pla d'actuació per a la prevenció de la covid als mercats</t>
  </si>
  <si>
    <t>Servei de manteniment de programari de gestió d'expedients de la Policia Local i gestió de cementiri any 2021</t>
  </si>
  <si>
    <t>Coordinador de Seguretat i Salut obres " Col·locació línies de via al cementiri Municipal"</t>
  </si>
  <si>
    <t>Flyers publicitaris campanya Vilafrancs</t>
  </si>
  <si>
    <t>Contractació del servei de publicitat de la Fira del Gall COVID-19 a TURISME CATALUNYA</t>
  </si>
  <si>
    <t>Contractació del subministrament d' avets i ornamentació floral per la Fira del Gall COVID-19.</t>
  </si>
  <si>
    <t>Subministrament de 35 unitats de pilones X-Last.</t>
  </si>
  <si>
    <t>Anunci 2a campanya de comerç Vilafrancs</t>
  </si>
  <si>
    <t>Subministrament de llambirdins link stone</t>
  </si>
  <si>
    <t>Subministrament d'un carretó model 3 Motion Würth per a l'espai jove la Nau</t>
  </si>
  <si>
    <t xml:space="preserve">Subministrament de 3 càmares de vigilància i videogravador </t>
  </si>
  <si>
    <t xml:space="preserve">Instal·lació d'un porter electrònic a les instal·lacions OMT </t>
  </si>
  <si>
    <t>Suministrament motxilla servei de mercats</t>
  </si>
  <si>
    <t>Subministrament lona publicitària i tres plantilles fabricades amb PVC o Dibon</t>
  </si>
  <si>
    <t>Servei de retirada del canyar de la riera de Melió i  de les canyes de la llera, entre els punts E(X):392.310 m, N(Y):4.577.829 m UTM 31N/ETR S89 i el punt E(X):392.394 m, N(Y):4.577.533 m UTM 31N/ETR S89</t>
  </si>
  <si>
    <t xml:space="preserve">Servei d’autoreparació i manteniment de bicicletes </t>
  </si>
  <si>
    <t>Modificació del pany de la porta d'accés de la Oficina Municipal de Treball (OMT) per tal d'adaptar-la a la instal·lació d'un sistema de porter electrònic</t>
  </si>
  <si>
    <t>Instal·lació interruptor automàtic magnetotèrmic per il·luminació de la façana de Santa Maria</t>
  </si>
  <si>
    <t>Comptatge d'afluències mercats municipals</t>
  </si>
  <si>
    <t>Publicació d'anunci de CAPACITATS 2020 als setmanaris El 3 de Vuit</t>
  </si>
  <si>
    <t xml:space="preserve">Publicació d'anunci de CAPACITATS 2020 als setmanaris La Fura </t>
  </si>
  <si>
    <t xml:space="preserve">Publicació d'anunci de CAPACITATS 2020 als setmanaris  El Cargol </t>
  </si>
  <si>
    <t>Suministrament pintura campanya Vilafrancs</t>
  </si>
  <si>
    <t>Contractació del servei de manteniment anual, assistència tècnica i back office de la plataforma inventrip per a l'any 2020.</t>
  </si>
  <si>
    <t>Contractació del subministrament Ous de xocolata per la Fira del Gall COVID-19.</t>
  </si>
  <si>
    <t>compra de 4.000 bosses reutilitzables i plegbles dins de la campanya Adeu Plàstics destinada als mercats no sedentaris</t>
  </si>
  <si>
    <t>Subministrament serveis d’accesibilitat web per la nova web municipal</t>
  </si>
  <si>
    <t>Servei d'enregistrament de 5 contes de l'espectacle infantil "ContaContes" amb motiu del 25N</t>
  </si>
  <si>
    <t xml:space="preserve">contractació dels serveis de configuració per la Localització dels Objectius de desenvolupament Sostenible (ODS) municipals al web municipal de l’Ajuntament de Vilafranca del Penedès.
</t>
  </si>
  <si>
    <t>Contractació del servei de desmuntatge i muntatge de la tanca de la zona logística de l’obra de Vinseum per la Fira del Gall COVID-19.</t>
  </si>
  <si>
    <t>Controladors Fira de Santa Llúcia 2020</t>
  </si>
  <si>
    <t>Subministrament de 4 cadires MIT 4 potes colors dicersos per a l'espai jove la Nau</t>
  </si>
  <si>
    <t>Servei de dinamització d'activitats de lleure educatiu de l'àmbit de l'activitat física per a l'espai jove la Nau</t>
  </si>
  <si>
    <t>Servei de formació sobre sostenibilitat ambiental per a l'espai jove la Nau</t>
  </si>
  <si>
    <t>Subministrament de banderoles per la Fira del Gall COVID-19.</t>
  </si>
  <si>
    <t>Subministrament en règim de lloguer de catenàries per la Fira del Gall COVID-19.</t>
  </si>
  <si>
    <t>Servei de reparació els cavallets de fusta dels Gegants de Vilafranca</t>
  </si>
  <si>
    <t>Contractació de publicitat a la web de FESTA CATALUNYA.CAT.</t>
  </si>
  <si>
    <t>Manteniment Muntanya Sant Jaume - desembre</t>
  </si>
  <si>
    <t>Servei de guió i producció de 4 micro-vídeos dels Reis Mags.</t>
  </si>
  <si>
    <t>Subministrament de 4 Sais per RACC</t>
  </si>
  <si>
    <t xml:space="preserve">contractació de la instal.lació de fil musical per a la fira mercat de Santa Llúcia que tindrà lloc a la plaça Jaume I del 4 al 13 de desembre de 2020.
</t>
  </si>
  <si>
    <t>Subministrament d'Agendes i tacs de calendari per a l'any 2021.</t>
  </si>
  <si>
    <t>Subministrament de material de confecció del nou vestuari del Ball de Diables</t>
  </si>
  <si>
    <t>Servei de contractació, coordinació i caracterització d’actors/actrius que organitzaran la recollida de cartes als barris</t>
  </si>
  <si>
    <t>Obres de pavimentació del soterrani de l’edifici Casa Feliu.</t>
  </si>
  <si>
    <t>Taller d’ambientació del punt de venda de la Plaça Jaume I per la Fira del Gall COVID-19.</t>
  </si>
  <si>
    <t>Subministrament d’un armari rack per ubicar els equips de so i control AV instal•lat a la 2ª planta de la Casa de la Festa Major</t>
  </si>
  <si>
    <t>Subministrament de material de reforç per les sessions d'atenció psicològica infantil i juvenil del SIAD.</t>
  </si>
  <si>
    <t>Contractació del servei de publicitat de la Fira del Gall COVID-19 a SER PENEDÈS - GARRAF.</t>
  </si>
  <si>
    <t>Servei d'edició d'una exposició "Penedès amb Palestina"</t>
  </si>
  <si>
    <t>Serveis d’adequació electrics del nou CPD de contingència de l’Ajuntament a l'edifici Enològica</t>
  </si>
  <si>
    <t>Subministrament i col·locació d’un tub per a la subjecció d’una càmera de TV a Sant Pau i reixa de protecció.</t>
  </si>
  <si>
    <t>2 rotlles de ret de coco de 700gr/m2 en rotlle de 2x50m</t>
  </si>
  <si>
    <t xml:space="preserve">Servei de disseny i fabricació d’una bústia itinerant per a les cartes dels Reis Mags </t>
  </si>
  <si>
    <t>Servei de neteja  urgent de la façana de l'edifici de l'Ajuntament segons pressupost Récop núm. 2000 - OM</t>
  </si>
  <si>
    <t>Servei de formació per a professionals i famílies "violència filioparental"</t>
  </si>
  <si>
    <t xml:space="preserve">Subministrament d'un projector per a la Sala d'Actes del Servei d'Ocupació </t>
  </si>
  <si>
    <t>Contractació del subministrament d'etiquetes per la Fira del Gall COVID-19</t>
  </si>
  <si>
    <t>Subministrament pont de llum i nova rotúlació policial furgoneta 2904CGH</t>
  </si>
  <si>
    <t>Subministrament d’un braç articulat per un monitor de 65” que forma part de la part gràfica del projecte de museïtzació de la Casa de la Festa Major</t>
  </si>
  <si>
    <t>Manteniment programa de gestió de mercats</t>
  </si>
  <si>
    <t>Contractació servei de destrucció documentació</t>
  </si>
  <si>
    <t>Servei d’endoteràpia pel tractament de 50 ailants, amb un número total de 100 punxades.</t>
  </si>
  <si>
    <t>Subministrament de un tallafocs Fortinet 60 pel centre Agora</t>
  </si>
  <si>
    <t>Controladors per la Fira de Nadal 2020</t>
  </si>
  <si>
    <t xml:space="preserve">lloguer d’un contrabaix com a backlin, pel concert de Rodrigo Cuevas,  que tindrà lloc  a l’Auditori Municipal, el dia 18 de desembre. </t>
  </si>
  <si>
    <t>Vídeo Felicitació de Nadal 2020</t>
  </si>
  <si>
    <t>BENITO URBAN SLU</t>
  </si>
  <si>
    <t>PARQUES Y JARDINES FABREGAS, SA</t>
  </si>
  <si>
    <t>GARRAF NEW MEDIA, SL</t>
  </si>
  <si>
    <t>PUBLICACIONES PENEDÈS, SA</t>
  </si>
  <si>
    <t>EL CARGOL PUBLICACIONS, SL</t>
  </si>
  <si>
    <t>EDICIO DE PREMSA PERIODICA ARA, S.L.</t>
  </si>
  <si>
    <t>SCG AQUITANIA, SL</t>
  </si>
  <si>
    <t>DIARI REGIO 7-ED.INTERCOMARCALS, S.A.</t>
  </si>
  <si>
    <t>SERGIO DANIEL BARNAL FERRANDO</t>
  </si>
  <si>
    <t>TAMEDIAXA, SA</t>
  </si>
  <si>
    <t>CASA PARAIRE, SL</t>
  </si>
  <si>
    <t>SURTDECASA SCCL</t>
  </si>
  <si>
    <t>INCIS FILMS,S.L.</t>
  </si>
  <si>
    <t>IMAGI ART, SL</t>
  </si>
  <si>
    <t>FERRETERIA BADIA, SA</t>
  </si>
  <si>
    <t>SERCOM, SL</t>
  </si>
  <si>
    <t>TOTCARRER SL</t>
  </si>
  <si>
    <t>HAPPYLUDIC PLAYGROUND AND URBAN EQUIPMENT SL</t>
  </si>
  <si>
    <t>GRAFIQUES DEL FOIX, SL</t>
  </si>
  <si>
    <t>GODO STRATEGIES, SL</t>
  </si>
  <si>
    <t>CORPORACIÓ CATALANA DE MITJANS AUDIOVISUALS, SA</t>
  </si>
  <si>
    <t>SAPIENS, SCCL</t>
  </si>
  <si>
    <t>GARBET NETEJA I MANTENIMENT INTEGRAL EI, SCCL</t>
  </si>
  <si>
    <t>Elèctrica Güell, SA</t>
  </si>
  <si>
    <t>Lara Castellanos Grande</t>
  </si>
  <si>
    <t>Maria Batet Rovirosa</t>
  </si>
  <si>
    <t>Brots Consultoria Social SCP</t>
  </si>
  <si>
    <t>INV PROTECCION, SL</t>
  </si>
  <si>
    <t>ENVASES UNIVERSALES, SAU</t>
  </si>
  <si>
    <t>EDITORIAL MIGUEL A. SALVATELLA, SA</t>
  </si>
  <si>
    <t>JOSEP MARIA BUCH TOBELLA</t>
  </si>
  <si>
    <t>YOLANDA SUSIN BALLESTEROS</t>
  </si>
  <si>
    <t>NOU SILVA EQUIPS, SL</t>
  </si>
  <si>
    <t>SISTEMES OFICINA DEL PENEDÈS, SA</t>
  </si>
  <si>
    <t>DEPALOL MULTIMEDIA, SLU</t>
  </si>
  <si>
    <t>XAVIER CABRE ARNABAT</t>
  </si>
  <si>
    <t>OH DESAIGUES 2003, SL</t>
  </si>
  <si>
    <t>NOU SET EMPRESA D'INSERCIÓ, SCCL</t>
  </si>
  <si>
    <t>DISFRESSES BARQUET, SCP</t>
  </si>
  <si>
    <t>CAL VICENTÓ, SL</t>
  </si>
  <si>
    <t>TIBIDABO EDICIONES, SA</t>
  </si>
  <si>
    <t>HABITALIA CONSULTING – SALVADOR OLIVÉ JUVÉ</t>
  </si>
  <si>
    <t>GRAFIQUES IMPRES RAPID, SL</t>
  </si>
  <si>
    <t>MAGAZINEPUBLICACIONES MEDIA, SL</t>
  </si>
  <si>
    <t>GERMINOVA, SA</t>
  </si>
  <si>
    <t>SABACAUCHO, SAU</t>
  </si>
  <si>
    <t>INNOVACIONS TECNOLOGIQUES SA</t>
  </si>
  <si>
    <t>WURTH ESPAÑA, SA</t>
  </si>
  <si>
    <t>DIGGITECNIC, SL</t>
  </si>
  <si>
    <t>ELECTRICA GUELL, SA</t>
  </si>
  <si>
    <t>BUREAU VALLEE VILAFRANCA.SL</t>
  </si>
  <si>
    <t>SILVIA FREIXEDAS MARTINEZ</t>
  </si>
  <si>
    <t>DAVID BONELL FERRER</t>
  </si>
  <si>
    <t>SERVEIS MAQUINARIA BANYOLINA SL</t>
  </si>
  <si>
    <t>SERRALLERIA CARBO, SL</t>
  </si>
  <si>
    <t>SECE</t>
  </si>
  <si>
    <t>IMOTION RETAIL, SL</t>
  </si>
  <si>
    <t>PUBLICACIONS PENEDÈS, SA</t>
  </si>
  <si>
    <t>EL CARGOL PUBLICACIONS SL</t>
  </si>
  <si>
    <t>GROGAS Y PINTURAS LA MODERNA, SA</t>
  </si>
  <si>
    <t>SISMOTUR, SL</t>
  </si>
  <si>
    <t>CHOCOLATES SIMON COLL SA</t>
  </si>
  <si>
    <t>EVERYCODE, S.L. (INSUIT)</t>
  </si>
  <si>
    <t>T-SYSTEMS ITC IBERIA SLU</t>
  </si>
  <si>
    <t>CONSTRUCCIONES COTS I CLARET, SL</t>
  </si>
  <si>
    <t>CATCH&amp;CONTROL XX, SL</t>
  </si>
  <si>
    <t>F. VIDAL, SA</t>
  </si>
  <si>
    <t>CONSELL ESPORTIU ALT PENEDÈS</t>
  </si>
  <si>
    <t>BERTA GARRIGA GARRIGA</t>
  </si>
  <si>
    <t>POPART INICIATIVES BCN SPORTS CONSULTING, SL</t>
  </si>
  <si>
    <t>DOUBLET IBERICA,S.A.</t>
  </si>
  <si>
    <t>QUEROL SERRA, SL</t>
  </si>
  <si>
    <t>FESTACATALUNYA EVENTS, SL</t>
  </si>
  <si>
    <t>PUNT TV COMUNICACIÓ AUDIOVISUAL, SL</t>
  </si>
  <si>
    <t>SALTOKI REUS, S.L.</t>
  </si>
  <si>
    <t>JOAN SADURNI RABELLA</t>
  </si>
  <si>
    <t>ESPAI TOT PER L´OFICINA, SL</t>
  </si>
  <si>
    <t>CARLES ROCA SABATÉ</t>
  </si>
  <si>
    <t>CATALANA D'OBRES DEL PENEDÈS SA</t>
  </si>
  <si>
    <t>ESCOLA MUNICIPAL D'ART ARSENAL</t>
  </si>
  <si>
    <t>SONO TECNOLOGIA AUDIOVISUAL, SLU</t>
  </si>
  <si>
    <t>LA BEN NASCUDA LLIBRES I ACCIONS CULTURALS, SL</t>
  </si>
  <si>
    <t>SOCIEDAD ESPAÑOLA DE RADIO DIFUSIONS, SLU</t>
  </si>
  <si>
    <t>LAMPISTERIA SALVADOR, SL</t>
  </si>
  <si>
    <t>FERROS CLOT DE  MOJA, SL</t>
  </si>
  <si>
    <t>AQUANEA, SL</t>
  </si>
  <si>
    <t>JORDI GIBERT SOGAS</t>
  </si>
  <si>
    <t>RECOP RESTAURACIONS AUQUITECTONIQUES SLU</t>
  </si>
  <si>
    <t>BEGOÑA SERRA FOS</t>
  </si>
  <si>
    <t>OFIGRÀFIC, SL</t>
  </si>
  <si>
    <t>BARCELONA DISEÑO URBANO</t>
  </si>
  <si>
    <t>DEXTRON</t>
  </si>
  <si>
    <t>MANSOL PROJECTES SL</t>
  </si>
  <si>
    <t>FITOPATOLOGIA I NATURA, SL</t>
  </si>
  <si>
    <t>IMPALA NETWORK SOLUTIONS, SL</t>
  </si>
  <si>
    <t>BS QUALITY STAFF, SL</t>
  </si>
  <si>
    <t>XAVIER CARBO FERRET</t>
  </si>
  <si>
    <t>NURIA REPISO CAMLLONCH</t>
  </si>
  <si>
    <t>B65258261</t>
  </si>
  <si>
    <t>B60955564</t>
  </si>
  <si>
    <t>A08539165</t>
  </si>
  <si>
    <t>52401641M</t>
  </si>
  <si>
    <t>A43926682</t>
  </si>
  <si>
    <t>B17205550</t>
  </si>
  <si>
    <t>F55686794</t>
  </si>
  <si>
    <t>B66875857</t>
  </si>
  <si>
    <t>B64956030</t>
  </si>
  <si>
    <t>B63768550</t>
  </si>
  <si>
    <t>B08936643</t>
  </si>
  <si>
    <t>A08849622</t>
  </si>
  <si>
    <t>F64074982</t>
  </si>
  <si>
    <t>F17849290</t>
  </si>
  <si>
    <t>A08450892</t>
  </si>
  <si>
    <t>46966539X</t>
  </si>
  <si>
    <t>46632289L</t>
  </si>
  <si>
    <t>J67214924</t>
  </si>
  <si>
    <t>B85582013</t>
  </si>
  <si>
    <t>A17028747</t>
  </si>
  <si>
    <t>A08605180</t>
  </si>
  <si>
    <t>77300831Q</t>
  </si>
  <si>
    <t>36522788F</t>
  </si>
  <si>
    <t>B43611466</t>
  </si>
  <si>
    <t>A12268918</t>
  </si>
  <si>
    <t>B55124267</t>
  </si>
  <si>
    <t>79290980K</t>
  </si>
  <si>
    <t>B64837719</t>
  </si>
  <si>
    <t>J64913148</t>
  </si>
  <si>
    <t>B08607038</t>
  </si>
  <si>
    <t>A08964561</t>
  </si>
  <si>
    <t>A08994733</t>
  </si>
  <si>
    <t>A58979337</t>
  </si>
  <si>
    <t>A08472276</t>
  </si>
  <si>
    <t>B66206798</t>
  </si>
  <si>
    <t>77315558T</t>
  </si>
  <si>
    <t>77314510X</t>
  </si>
  <si>
    <t>B17404583</t>
  </si>
  <si>
    <t>B59092619</t>
  </si>
  <si>
    <t>A080011182</t>
  </si>
  <si>
    <t>B6621327</t>
  </si>
  <si>
    <t>A08123010</t>
  </si>
  <si>
    <t>B82726415</t>
  </si>
  <si>
    <t>A087720781</t>
  </si>
  <si>
    <t>B98657711</t>
  </si>
  <si>
    <t>B62422159</t>
  </si>
  <si>
    <t>A08364333</t>
  </si>
  <si>
    <t>B66956848</t>
  </si>
  <si>
    <t>A58890682</t>
  </si>
  <si>
    <t>B66236928</t>
  </si>
  <si>
    <t>B01808682</t>
  </si>
  <si>
    <t>B64517121</t>
  </si>
  <si>
    <t>B17944497</t>
  </si>
  <si>
    <t>77106240M</t>
  </si>
  <si>
    <t>77314160M</t>
  </si>
  <si>
    <t>A67503631</t>
  </si>
  <si>
    <t>B61906103</t>
  </si>
  <si>
    <t>B28016970</t>
  </si>
  <si>
    <t xml:space="preserve">B64312028 </t>
  </si>
  <si>
    <t>B63460513</t>
  </si>
  <si>
    <t>44306047B</t>
  </si>
  <si>
    <t>B43467968</t>
  </si>
  <si>
    <t>43689582R</t>
  </si>
  <si>
    <t>B61607487</t>
  </si>
  <si>
    <t>A08685273</t>
  </si>
  <si>
    <t>B66026626</t>
  </si>
  <si>
    <t>B60696721</t>
  </si>
  <si>
    <t>77116882K</t>
  </si>
  <si>
    <t>35034912R</t>
  </si>
  <si>
    <t xml:space="preserve">Subministrament i instal.lació de recanvis per a la reparació del gronxador hexagonal del Parc del Poble Nou </t>
  </si>
  <si>
    <t>1978/2020/CMN</t>
  </si>
  <si>
    <t>1983/2020/CMN</t>
  </si>
  <si>
    <t>1999/2020/CMN</t>
  </si>
  <si>
    <t>2003/2020/CMN</t>
  </si>
  <si>
    <t>2007/2020/CMN</t>
  </si>
  <si>
    <t>2009/2020/CMN</t>
  </si>
  <si>
    <t>2010/2020/CMN</t>
  </si>
  <si>
    <t>2012/2020/CMN</t>
  </si>
  <si>
    <t>2013/2020/CMN</t>
  </si>
  <si>
    <t>2028/2020/CMN</t>
  </si>
  <si>
    <t>2034/2020/CMN</t>
  </si>
  <si>
    <t>2035/2020/CMN</t>
  </si>
  <si>
    <t>2037/2020/CMN</t>
  </si>
  <si>
    <t>2038/2020/CMN</t>
  </si>
  <si>
    <t>2040/2020/CMN</t>
  </si>
  <si>
    <t>2054/2020/CMN</t>
  </si>
  <si>
    <t>2055/2020/CMN</t>
  </si>
  <si>
    <t>2059/2020/CMN</t>
  </si>
  <si>
    <t>2060/2020/CMN</t>
  </si>
  <si>
    <t>2073/2020/CMN</t>
  </si>
  <si>
    <t>2088/2020/CMN</t>
  </si>
  <si>
    <t>2091/2020/CMN</t>
  </si>
  <si>
    <t>2092/2020/CMN</t>
  </si>
  <si>
    <t>2094/2020/CMN</t>
  </si>
  <si>
    <t>2095/2020/CMN</t>
  </si>
  <si>
    <t>2120/2020/CMN</t>
  </si>
  <si>
    <t>2121/2020/CMN</t>
  </si>
  <si>
    <t>2123/2020/CMN</t>
  </si>
  <si>
    <t>2129/2020/CMN</t>
  </si>
  <si>
    <t>2131/2020/CMN</t>
  </si>
  <si>
    <t>2132/2020/CMN</t>
  </si>
  <si>
    <t>2136/2020/CMN</t>
  </si>
  <si>
    <t>2139/2020/CMN</t>
  </si>
  <si>
    <t>2141/2020/CMN</t>
  </si>
  <si>
    <t>2144/2020/CMN</t>
  </si>
  <si>
    <t>2145/2020/CMN</t>
  </si>
  <si>
    <t>2148/2020/CMN</t>
  </si>
  <si>
    <t>2150/2020/CMN</t>
  </si>
  <si>
    <t>2160/2020/CMN</t>
  </si>
  <si>
    <t>2171/2020/CMN</t>
  </si>
  <si>
    <t>Contractació de l'espectacle A la fresca de la Companyia Anna Confetti, que tindrà lloc al Claustre dels Trinitaris</t>
  </si>
  <si>
    <t>Contractació del servei de presentació de la festa de temporada dels espectacles professionals adreçats al públic familiar i adult</t>
  </si>
  <si>
    <t>Contractació del servei de teatre per dinamitzar les activitats de esdeveniment Obrim Vilafranca</t>
  </si>
  <si>
    <t>Contractació del servei de dansa per dinamitzar les activitats de l'esdeveniment Obrim Vilafranca</t>
  </si>
  <si>
    <t>Contractació d0el servei de publicitat a RAC 1 per fer difusió de l'esdeveniment Obrim Vilafranca</t>
  </si>
  <si>
    <t>Contractatació el servei de publicitat a RADIO VILAFRANCA per fer difusió de l'esdeveniment Obrim Vilafranca</t>
  </si>
  <si>
    <t>Contractació del Servei de muntatge i desmuntatge de les connexions així com el lloguer de focus, camió grua i quadre elèctric per
l'ofrena de les entitats culturals al monument Lluís Companys, emmarcada dins de la commemoració de la Diada Nacional de Catalunya 2020</t>
  </si>
  <si>
    <t>Contractació del subministrament de gel hidroalcohòlic i mascaretes per l'esdeveniment Obrim Vilafranca</t>
  </si>
  <si>
    <t>Contractació  del Servei de l'espectacle de narracions per a adults a càrrec d'en Carles Belda programat pel dia 21 de setembre a la
Biblioteca Torras i Bages.</t>
  </si>
  <si>
    <t>Contractació del Servei de
manteniment del Hosting, Back-ups de seguretat amb servei d'atenció urgent 24 hores 365 dies de la plataforma web espectacles.vilafranca.cat del Teatre Cal Bolet i l'Auditori Municipal, des
del mes de setembre de 2020 fins al mes de setembre del 2021</t>
  </si>
  <si>
    <t>Contractació de la revisió i
manteniment dels 2 SAIS del CPD d'informàtica</t>
  </si>
  <si>
    <t>Contractació de una
assegurança de responsabilitat civil i una altra d'accidents pels Programes de Formació
i Inserció d'especialitat auxiliar d'hoteleria: cuina i serveis de restauració o especialitat
auxiliar d'imatge personal: perruqueria i estètica</t>
  </si>
  <si>
    <t>Subministrament d'impressora de targetes Evolis Zenius Clàssic</t>
  </si>
  <si>
    <t>Contractació del servei de
teatralització de la visita dels Magatzems Mory per dinamitzar l'esdeveniment Obrim Vilafranca</t>
  </si>
  <si>
    <t>Contractació de una formació: "Taller de Neuromàrqueting aplicat a les vendes",</t>
  </si>
  <si>
    <t xml:space="preserve">Contractació de inspeccions periòdiques de diversos equipaments contra incendis  municipals i registres d'aquestes
</t>
  </si>
  <si>
    <t>Contractació per reorganitzar la ubicació i contingut de la senyalització turística de vianants,</t>
  </si>
  <si>
    <t>Contractació per a la
reparació i substitució del part de la xarxa de reg automatitzat del Parc 1 d'octubre</t>
  </si>
  <si>
    <t>Contractar la publicitat de la
campanya de comerç Vilafrancs.</t>
  </si>
  <si>
    <t>Contractació de la publicitat de la campanya de comerç Vilafrancs.</t>
  </si>
  <si>
    <t>Contractació de campanya publicitària de comerç  Vilafrancs (Televisió i radio)</t>
  </si>
  <si>
    <t>Contractació de la Redacció i execució de la xarxa topogràfica municipal de Vilafranca del Penedès</t>
  </si>
  <si>
    <t>Contracctació d'un reportatge de 2 pàgines per l'edició de novembre a la revista ARRELS. Per l'edició de novembre de 2020</t>
  </si>
  <si>
    <t>Subministrament i instal·lació de mosquiteres a les finestres de les habitacions, sales polivalents, recepció i menjador, de l'Alberg
Municipal de Joventut</t>
  </si>
  <si>
    <t>Contractació de disseny del calendari d'artesans,
brocanters i pintors en format quadrimestral</t>
  </si>
  <si>
    <t>Subministrament de 18 exemplars del llibre "Lo nuestro" i 18 exemplars del llibre "Instruccions per enterrar un pare" pel Club de lectura de la Biblioteca Torras i Bages "Llegir el teatre"</t>
  </si>
  <si>
    <t xml:space="preserve">Contractació, per un periode de 6 mesos dels serveis de prevenció i control de la legionel•losi en instal•lacions municipals de Vilafranca del Penedès, per tal de donar compliment a les competències municipals en matèria de prevenció i control de legionel•losi que es troben recollides en el Decret 352/2004 </t>
  </si>
  <si>
    <t>Subministrament taules i cadires plegables per a la realització d'esdeveniments a l'alberg municipal de Joventut.</t>
  </si>
  <si>
    <t>Contractació del servei
d'atenció a les sales d'estudi fins el 31 de desembre de 2020 de les dos sales d'estudi
actualment existents a Vilafranca: Casa Amiguet i Escavi, tot coincidint amb l'inici del
curs escolar 2020/2021</t>
  </si>
  <si>
    <t>Contractació de obres de millora del paviment de formigó del pont inferior a l'AP7 i retirar les terres existents per a poder permetre el pas de vehicles i vianants pel camí de la Pedrera</t>
  </si>
  <si>
    <t>Subministrament de 5 dispensadors de gel hidroalcohòlic amb pedal per l'Escorxador pel Claustre de Sant Francesc. Sala dels Trinitaris i la Capella de Sant Joan</t>
  </si>
  <si>
    <t>Contractació del servei de mà d'obra dels treballs de fusteria puntuals al despatx de l'alberg municipal de Joventut.</t>
  </si>
  <si>
    <t>Subministrament d'uns
armaris nous per a guardar-hi els estris i productes per a la neteja del mercat municipal de Sant Salvador</t>
  </si>
  <si>
    <t>Contractació del Servei d'espectacle de narracions i taller "Coet Apollo 11" el dia 03 d'octubre de 2020 a la Biblioteca Torras i Bages
de Vilafranca del Penedès</t>
  </si>
  <si>
    <t>Subministrament de
40 carros de compra en el marc de la campanya "Adeu plàstics"</t>
  </si>
  <si>
    <t>Contractació del Servei de l'activitat "Històries i melodies per a viatjar sobre la pell" el dia 24 d'octubre de 2020 a la Biblioteca
Torras i Bages de Vilafranca del Penedès</t>
  </si>
  <si>
    <t>39176340A</t>
  </si>
  <si>
    <t>47747496W</t>
  </si>
  <si>
    <t>G58386343</t>
  </si>
  <si>
    <t>A08855819</t>
  </si>
  <si>
    <t>77320340K</t>
  </si>
  <si>
    <t>A084500892</t>
  </si>
  <si>
    <t>G64243132</t>
  </si>
  <si>
    <t>A08435356</t>
  </si>
  <si>
    <t>A28229599</t>
  </si>
  <si>
    <t>B61566279</t>
  </si>
  <si>
    <t>B66851254</t>
  </si>
  <si>
    <t>B60070505</t>
  </si>
  <si>
    <t>B62975396</t>
  </si>
  <si>
    <t>B62020953</t>
  </si>
  <si>
    <t>B64461312</t>
  </si>
  <si>
    <t>B59377192</t>
  </si>
  <si>
    <t>B59953711</t>
  </si>
  <si>
    <t>B08542482</t>
  </si>
  <si>
    <t>38782142W</t>
  </si>
  <si>
    <t>B61515474</t>
  </si>
  <si>
    <t>45537949L</t>
  </si>
  <si>
    <t>ANNA AKAVEDRA CABEZA (COMPANYIA ANNA CONFETTI)</t>
  </si>
  <si>
    <t>LAIA PARETAS ALMIRALL</t>
  </si>
  <si>
    <t>GATAP</t>
  </si>
  <si>
    <t>GIMDANS S.A.</t>
  </si>
  <si>
    <t>GODO
STRATEGIES S.L</t>
  </si>
  <si>
    <t>SANDRA GÜELL SANTACANA</t>
  </si>
  <si>
    <t>SERCOM S.L.</t>
  </si>
  <si>
    <t xml:space="preserve">ELECTRICA GÜELL S.A </t>
  </si>
  <si>
    <t>CAL VICENTO S.L</t>
  </si>
  <si>
    <t>ASSOCIACIÓ ARTÍSTICA TRISKEL</t>
  </si>
  <si>
    <t>JAVAJAN SERVEIS D'INTERNET S.L</t>
  </si>
  <si>
    <t>SALICRU ELECTRONICS S.A</t>
  </si>
  <si>
    <t>MAPFRE
VIDA S.A</t>
  </si>
  <si>
    <t>INFORMATICA I COMUNICACIONS DE
TARRAGONA S.A</t>
  </si>
  <si>
    <t>ACCIONS CULTURALS (RE-CREA) S.L</t>
  </si>
  <si>
    <t>MILLENIUM BCN-VAL S.L</t>
  </si>
  <si>
    <t>TUV
RHEINLAND IBERICA ICT S.A</t>
  </si>
  <si>
    <t>SEÑALES GIROD S.L</t>
  </si>
  <si>
    <t>SAMCLA ESIC S.L</t>
  </si>
  <si>
    <t>ELECTRICA GÜELL S.A</t>
  </si>
  <si>
    <t>PUBLICACIONS PENDEDES S.A             (EL 3 DE VUIT)</t>
  </si>
  <si>
    <t xml:space="preserve">SERCOM S.L </t>
  </si>
  <si>
    <t>INFRAPLAN BARCELONA S.L</t>
  </si>
  <si>
    <t>SAPIENS S.C.C.L</t>
  </si>
  <si>
    <t>GESTION DIAGONAL S.L</t>
  </si>
  <si>
    <t>FLYHARDPRODUCCIONS S.L</t>
  </si>
  <si>
    <t>QUIPROCALT SL</t>
  </si>
  <si>
    <t>GRUP VIADA MATARO S.L</t>
  </si>
  <si>
    <t xml:space="preserve">NOU SET EMPRESA D'INSERCIÓ </t>
  </si>
  <si>
    <t>INMOBILIARIA GORBAX S.L</t>
  </si>
  <si>
    <t>BATLLE PREFABRICATS EN FUSTA S.L</t>
  </si>
  <si>
    <t>FERRET CASULLERAS S.L</t>
  </si>
  <si>
    <t>JOAN PUJOL PRIM</t>
  </si>
  <si>
    <t xml:space="preserve">JOSEP ORIOL ROMEU SOLÉ </t>
  </si>
  <si>
    <t>USIS GUIRAO S.L</t>
  </si>
  <si>
    <t>MARTA BOSCH CALL</t>
  </si>
  <si>
    <t>Servei de disseny gràfic per a l'actualització dels continguts del catàleg d'activitats PIDCES</t>
  </si>
  <si>
    <t>Contractació del subministrament i instal·lació d'un descalcificador per a la cuina de l'Alberg Municipal de Joventut</t>
  </si>
  <si>
    <t>46138696Y</t>
  </si>
  <si>
    <t>Subministrament de
100 suports emissora (50 sistema cargol, 50 sistema clip)</t>
  </si>
  <si>
    <t>2184/2020/CMN</t>
  </si>
  <si>
    <t>2186/2020/CMN</t>
  </si>
  <si>
    <t>2198/2020/CMN</t>
  </si>
  <si>
    <t>2204/2020/CMN</t>
  </si>
  <si>
    <t>2213/2020/CMN</t>
  </si>
  <si>
    <t>2216/2020/CMN</t>
  </si>
  <si>
    <t>2234/2020/CMN</t>
  </si>
  <si>
    <t>2239/2020/CMN</t>
  </si>
  <si>
    <t>2266/2020/CMN</t>
  </si>
  <si>
    <t>2267/2020/CMN</t>
  </si>
  <si>
    <t>2268/2020/CMN</t>
  </si>
  <si>
    <t>2269/2020/CMN</t>
  </si>
  <si>
    <t>Subministrament de 100 targetes RFID per la recàrrega de vehicles elèctrics. personalitzades i
compatibles amb la codificació de l'Aliança de Municipis per la Interoperabilitat de l'ICAEN</t>
  </si>
  <si>
    <t>Subministrament de 20 terminals telefònics VoIP</t>
  </si>
  <si>
    <t>Subministrament de de
banderoles per la identificació als diferents avituallaments del circuit de l'esdeveniment anomenat "Mitja Marató Espirall</t>
  </si>
  <si>
    <t>Contractació del servei de l'activitat "L'art de llegir" a càrrec de l'Òscar Sardà Guardia, el dia 17 d'octubre de 2020. Biblioteca
Torras i Bages de Vilafranca del Penedès</t>
  </si>
  <si>
    <t>Contractació del servei intensiu de control i reducció de la població de coloms a Vilafranca del Penedès, per tal de disminuir el volum de les colònies</t>
  </si>
  <si>
    <t>Subministrament de 125 llibres "L'ocell Piulafí i altres contes inspirats en l'obra de Pau Boada"</t>
  </si>
  <si>
    <t>Subministrament de 367 arbres de ribera
de mida mitjana i petita</t>
  </si>
  <si>
    <t xml:space="preserve">Subministrament d'uniformes i EPIs dels Programes de Formació i Inserció de les especialitats d'Auxiliar d'Imatge Personal: Perruqueria i Estètica i d'Auxiliar d'Hoteleria: cuina i serveis de restauració </t>
  </si>
  <si>
    <t>Servei de lloguer del backline per l'espectacle de l'Ana Morales SIN PERMISO-CANCIONES PARA EL SILENCIO, programat pel dia
18 d'octubre de 2020. Teatre Cal Bolet</t>
  </si>
  <si>
    <t>Suministrament de 200 unitats de comandaments per a les pilones automàtiques instal·lades per limitar l'accés a l'illa de vianants</t>
  </si>
  <si>
    <t>Subministrament del vestuari laboral de la Unitat de Serveis per a la temporada d'hivern 2020</t>
  </si>
  <si>
    <t>Contractació de la reparació de l'ascensor de l'escola Baltà Elies</t>
  </si>
  <si>
    <t>B55667562</t>
  </si>
  <si>
    <t>43681835M</t>
  </si>
  <si>
    <t>B63767305</t>
  </si>
  <si>
    <t>A58650946</t>
  </si>
  <si>
    <t>B59360982</t>
  </si>
  <si>
    <t>B08216435</t>
  </si>
  <si>
    <t>B58371964</t>
  </si>
  <si>
    <t>A28791069</t>
  </si>
  <si>
    <t>ETECNIC MOBILIDAD ELECTRICA S.R.L</t>
  </si>
  <si>
    <t>APLICACIONES ELECTRICAS ENE S.A</t>
  </si>
  <si>
    <t>IDENTIC PRODUCCIÓ
CREATIVA S.L</t>
  </si>
  <si>
    <t>OSCAR SARDÀ GUARDIA</t>
  </si>
  <si>
    <t>ETHICAL ANIMAL PROJECTS S.L</t>
  </si>
  <si>
    <t>EDICIONS I PROPOSTES CULTURALS ANDANA S.L</t>
  </si>
  <si>
    <t>FORESTAL CATALANA S.A</t>
  </si>
  <si>
    <t>HELIEXPORT S.L</t>
  </si>
  <si>
    <t>CALL &amp; PLAY S.L</t>
  </si>
  <si>
    <t>QUADREX S.L</t>
  </si>
  <si>
    <t>METALCO S.A</t>
  </si>
  <si>
    <t>KONE ELEVADORES S.A</t>
  </si>
  <si>
    <t>2270/2020/CMN</t>
  </si>
  <si>
    <t>2272/2020/CMN</t>
  </si>
  <si>
    <t>2273/2020/CMN</t>
  </si>
  <si>
    <t>2274/2020/CMN</t>
  </si>
  <si>
    <t>2275/2020/CMN</t>
  </si>
  <si>
    <t>2276/2020/CMN</t>
  </si>
  <si>
    <t>2282/2020/CMN</t>
  </si>
  <si>
    <t>2288/2020/CMN</t>
  </si>
  <si>
    <t>2290/2020/CMN</t>
  </si>
  <si>
    <t>2299/2020/CMN</t>
  </si>
  <si>
    <t>Contractar sessió fotogràfica per renovar l'apartat "L'Ajuntament" de la
nova web municipa</t>
  </si>
  <si>
    <t>Subministrament de mobles d'oficina per a la Unitat i Estrangeria i Documentació del Cuerpo Nacional de Policia</t>
  </si>
  <si>
    <t xml:space="preserve">Realització de l'espectacle Mixed Bill del Ballet de Barcelona </t>
  </si>
  <si>
    <t>Contractació de servei per les inspeccions periòdiques IPE de generadors instal·lats en diversos equipaments municipals</t>
  </si>
  <si>
    <t>Servei de serigrafia per al frontal de la bossa de
quaranta carros de compra</t>
  </si>
  <si>
    <t>Subministrament de 4000 actes diverses
A4 amb autocopiables</t>
  </si>
  <si>
    <t>Servei de muntatge i esmuntatge d'estands i material extra per l' edició especial Fira del Gall COVID-19,</t>
  </si>
  <si>
    <t>Servei  de Coordinador de Seguretat i Salut per les
obres de construcció de la Vorera davant Nou Institut. Melió Residencial</t>
  </si>
  <si>
    <t>Subministrament de motxilles serigrafiades per l'esdeveniment anomenat Mitja Marató Espirall. Vilafranca Covid Edition 2020</t>
  </si>
  <si>
    <t>Subministrament de 50 caixes de 35 ampolles de plàstic d'aigua de 33cl per l'Auditori i Cal Bolet</t>
  </si>
  <si>
    <t>47649657M</t>
  </si>
  <si>
    <t>B67465716</t>
  </si>
  <si>
    <t>E66745910</t>
  </si>
  <si>
    <t>B17456690</t>
  </si>
  <si>
    <t>77098325-W</t>
  </si>
  <si>
    <t>77315221P</t>
  </si>
  <si>
    <t>B61473120</t>
  </si>
  <si>
    <t>ANTONI GALITÓ MARTÍN</t>
  </si>
  <si>
    <t>F.Vidal S.A</t>
  </si>
  <si>
    <t>RENEDO JOHNSEY S.L</t>
  </si>
  <si>
    <t>TUV RHEINLAND IBERICA ICT S.A</t>
  </si>
  <si>
    <t>JOPINTU CB</t>
  </si>
  <si>
    <t>GRAFIQUES IMPRES RÀPID S.L</t>
  </si>
  <si>
    <t>INCATIS S.L</t>
  </si>
  <si>
    <t>HABITALIA CONSULTING</t>
  </si>
  <si>
    <t xml:space="preserve"> BARTOLOMÉ LLUCH
MARIN</t>
  </si>
  <si>
    <t>MANATIAL DE SALUD S.L.U</t>
  </si>
  <si>
    <t>2725/2020/CMN</t>
  </si>
  <si>
    <t>Subministrament de Llistons de fusta de guinea de mida 3000*110*35 pels bancs dobles model MODO.</t>
  </si>
  <si>
    <t>PARQUES Y JARDINES FABREGAS SAU</t>
  </si>
  <si>
    <t>2304/2020/CMN</t>
  </si>
  <si>
    <t>2305/2020/CMN</t>
  </si>
  <si>
    <t>2307/2020/CMN</t>
  </si>
  <si>
    <t>2308/2020/CMN</t>
  </si>
  <si>
    <t>2309/2020/CMN</t>
  </si>
  <si>
    <t>2313/2020/CMN</t>
  </si>
  <si>
    <t>2314/2020/CMN</t>
  </si>
  <si>
    <t>2329/2020/CMN</t>
  </si>
  <si>
    <t>2330/2020/CMN</t>
  </si>
  <si>
    <t>2333/2020/CMN</t>
  </si>
  <si>
    <t>2335/2020/CMN</t>
  </si>
  <si>
    <t>2343/2020/CMN</t>
  </si>
  <si>
    <t>Subministrament i instal·lació de cortines per a les dependències de la OMT</t>
  </si>
  <si>
    <t>Subministrament de 10 armilles amb reflectant amb impressio davant i darrera per agents civics</t>
  </si>
  <si>
    <t>Subministrament de material informàtic pel desenvolupament de les tasques pròpies d'una Unitat i Estrangeria i Documentació del Cuerpo Nacional de Policia</t>
  </si>
  <si>
    <t>Servei de pintura i reparació dels quatre capgrossos -Humbert, Roseta, Canyamàs i Zingarel·la - del Ball de Capgrossos</t>
  </si>
  <si>
    <t>Submistrament de 130 parells
de mitjons estiu i 130 parells de mitjons d'hivern</t>
  </si>
  <si>
    <t>Servei de fabricació de l'estrella de la carrossa de l'Estrella, de la cavalcada de Reis</t>
  </si>
  <si>
    <t>Subministrament de 65 parells de guants d'hivern com a uniformitat dels agents de la Policia Local</t>
  </si>
  <si>
    <t>Subministrament de 65 botes
d'uniformitat dels agents de la Policia Local</t>
  </si>
  <si>
    <t>Subministrament de quinze plaques metàl·liques per a les peces artístiques de la façana de ceràmica de l'Ajuntament de Vilafranca. Amb motiu de les jubilacions dels treballadors/es de l'Ajuntament</t>
  </si>
  <si>
    <t>Realització de l'espectacle
Jorn, interpretat per Ricard Parera, Jordi Cabestany, Marcel·lí Bayer i Carlos Martorell que tindrà lloc a l'Auditori Municipal</t>
  </si>
  <si>
    <t>Subministrament de bosses de paper de mides diferents per esdeveniments esportius</t>
  </si>
  <si>
    <t>CORTINES CARMONA (Clemente Serrano Carmona)</t>
  </si>
  <si>
    <t>JOAN RAMON PUIG MASCARO (PDM GIFTS)</t>
  </si>
  <si>
    <t>SOCIETAT TECNOLOGICA DE LA PLATA S.L</t>
  </si>
  <si>
    <t>MARC SADURNI LLONGUERAS</t>
  </si>
  <si>
    <t>GOCOTEX S.L</t>
  </si>
  <si>
    <t xml:space="preserve">JORDI GIBERT SOGAS </t>
  </si>
  <si>
    <t>MAC UNIFORMES S.L</t>
  </si>
  <si>
    <t>CALZADOS CANOS GARCIA S.L</t>
  </si>
  <si>
    <t>MICHELA D'AURIA</t>
  </si>
  <si>
    <t xml:space="preserve">PERE LAGUNA SERAROLS </t>
  </si>
  <si>
    <t>JORDI CABESTANY SURIOL</t>
  </si>
  <si>
    <t>OLIVER RUEDA S.L</t>
  </si>
  <si>
    <t>39318157W</t>
  </si>
  <si>
    <t>77314007Z</t>
  </si>
  <si>
    <t>B01677434</t>
  </si>
  <si>
    <t>46143168-Q</t>
  </si>
  <si>
    <t>B81730103</t>
  </si>
  <si>
    <t>77306047B</t>
  </si>
  <si>
    <t>B66545963</t>
  </si>
  <si>
    <t>B12022711</t>
  </si>
  <si>
    <t>X8061657L</t>
  </si>
  <si>
    <t>77262514V</t>
  </si>
  <si>
    <t>52427795P</t>
  </si>
  <si>
    <t>B59561977</t>
  </si>
  <si>
    <t>Servei de dinamització i classes d'italià a la Biblioteca Torras i Bages</t>
  </si>
  <si>
    <t>2344/2020/CMN</t>
  </si>
  <si>
    <t>2346/2020/CMN</t>
  </si>
  <si>
    <t>2348/2020/CMN</t>
  </si>
  <si>
    <t>2349/2020/CMN</t>
  </si>
  <si>
    <t>2355/2020/CMN</t>
  </si>
  <si>
    <t>2362/2020/CMN</t>
  </si>
  <si>
    <t>2363/2020/CMN</t>
  </si>
  <si>
    <t>2365/2020/CMN</t>
  </si>
  <si>
    <t>2368/2020/CMN</t>
  </si>
  <si>
    <t>2369/2020/CMN</t>
  </si>
  <si>
    <t>2377/2020/CMN</t>
  </si>
  <si>
    <t>2381/2020/CMN</t>
  </si>
  <si>
    <t>2384/2020/CMN</t>
  </si>
  <si>
    <t>2393/2020/CMN</t>
  </si>
  <si>
    <t>2396/2020/CMN</t>
  </si>
  <si>
    <t>2398/2020/CMN</t>
  </si>
  <si>
    <t>2399/2020/CMN</t>
  </si>
  <si>
    <t>2406/2020/CMN</t>
  </si>
  <si>
    <t>2415/2020/CMN</t>
  </si>
  <si>
    <t>Programació, impartició, coordinació, seguiment i avaluació de les formacions transversals "Treball en Equip. Grup AF: SSCE197" i "Habilitats de comunicació. Grup AF: ADG112" (30 hores cadascuna), corresponent a les accions formatives del programa Treball i Formació (RESOLUCIÓ TSF 1419/2020, convocatòria extraordinària per fer front a la COVID-19, SOC–Treball i Formació COVID-19)</t>
  </si>
  <si>
    <t>Servei de un coordinador de Seguretat i Salut per les
obres de Millores funcionals i energètiques a l'edifici de l'Àgora</t>
  </si>
  <si>
    <t>Servei "consultoria per a la
definició i el desenvolupament de nous projectes per a la captació de recursos vinculats als
programes europeus que accelerin la implementació d'aquestes iniciatives</t>
  </si>
  <si>
    <t>Subministrment uniformitat hivern personal de consergeria de Servei de Cultura (Sala dels Trinitaris, Capella de Sant Joan, Claustre de Sant Francesc i Escorxador)</t>
  </si>
  <si>
    <t>Subministrament de 50 números d'identificació d'agents PL i 10 escuts de pit PL</t>
  </si>
  <si>
    <t>Restauració del gall Tomasot i la gallina Ballarica.</t>
  </si>
  <si>
    <t>Reparació ascensor edificis (Serveis Tècnics)</t>
  </si>
  <si>
    <t>Contractació de les obres de millora del paviment de formigó del pas inferior a la línia de rodalies de RENFE (al camí de l'Hort del Tona)</t>
  </si>
  <si>
    <t>Subministrament de 100.000 bosses blanques compostables per a la recollida d'excrements de gossos</t>
  </si>
  <si>
    <t>Servei de auditoria externa de seguiment de la
norma ISO 9001:2015</t>
  </si>
  <si>
    <t>Subministrament de material
esportiu per cobrir diferents necessitats a la pista atletisme per poder domentar la pràctica esportiva i la millora de la salut mitjançant d'activitat física</t>
  </si>
  <si>
    <t>Servei d'auditoria interna per al seguiment de gestió de la qualitat i preparació de la revisió del sistema per la direcció, de cara a l'auditoria de seguiment que s’ha de realitzar el mes de gener de 2021 de l'empresa certificadora.</t>
  </si>
  <si>
    <t>Realitzar taller "Lideratge en temps de crisi". Adreçat a persones emprenedores, empreses i professionals autònoms</t>
  </si>
  <si>
    <t>Subministrament de 4 carpes plegables destinades a l'exterior del teatre Cal Bolet i l'Auditori pel control d'entrades</t>
  </si>
  <si>
    <t>Realització de "Taller Disseny de Logo i Imatge gràfica". Adreçat a alumnes de 5è de primària en el marc del programa Cultura
Emprenedora a l'Escola</t>
  </si>
  <si>
    <t>Subministrament d'aparells i mobiliari d'estètica i
perruqueria del Programa de Formació i Inserció de l'especialitat d'Auxiliar d'Imatge Personal:
Perruqueria i Estètica</t>
  </si>
  <si>
    <t>Subministrament de material
divers per la uniformitat dels agents del servei de la Policia local</t>
  </si>
  <si>
    <t>Servei de filmació amb càmera de fotoparany de la fauna que passa per la riera de Llitrà i la riera de l'Adoberia i reparació de vídeos i memòria. Programa "Va d'aigua" de la
Diputació de Barcelona</t>
  </si>
  <si>
    <t>Subministrament de 3.480 bosses de malla reutilitzables. (campanya Adeu plàstics).</t>
  </si>
  <si>
    <t>046143458F</t>
  </si>
  <si>
    <t>B6230159-3</t>
  </si>
  <si>
    <t>B61721643</t>
  </si>
  <si>
    <t>77098937Q</t>
  </si>
  <si>
    <t>B63849699</t>
  </si>
  <si>
    <t>A43058387</t>
  </si>
  <si>
    <t>B66084591</t>
  </si>
  <si>
    <t>B50301217</t>
  </si>
  <si>
    <t>37683313K</t>
  </si>
  <si>
    <t>46345460T</t>
  </si>
  <si>
    <t>46963650L</t>
  </si>
  <si>
    <t>33925815X</t>
  </si>
  <si>
    <t>G62084025</t>
  </si>
  <si>
    <t>SONIA TALABANTE LUIS</t>
  </si>
  <si>
    <t>HABITALIA CONSULTING SALVADOR OLIVÉ JUVÉ</t>
  </si>
  <si>
    <t>ANDA MARKETING ESTRATEGICO S.L</t>
  </si>
  <si>
    <t>JOPINTU C.B</t>
  </si>
  <si>
    <t>PERES SPORT S.L</t>
  </si>
  <si>
    <t>M. DOLORS SANS OSETE</t>
  </si>
  <si>
    <t>KONE
ELEVADORES S.A</t>
  </si>
  <si>
    <t>9 COVISEN</t>
  </si>
  <si>
    <t>BUNZL DISTRIBUTION SPAIN S.A</t>
  </si>
  <si>
    <t>ICDQ INSTITUTO DE CERTIFICACIÓN</t>
  </si>
  <si>
    <t>ELKSPORT DISTRIBUCIONES S.L</t>
  </si>
  <si>
    <t>ALBERT GELPÍ I LACADSA</t>
  </si>
  <si>
    <t>ELENA TRILLA ARGILES</t>
  </si>
  <si>
    <t>GRUP VIADA MATARÓ S.L</t>
  </si>
  <si>
    <t>MARIA JESÚS AZOR DE HARO</t>
  </si>
  <si>
    <t>RICARDO JARA MARTIN</t>
  </si>
  <si>
    <t>PERES SPORTS S.L</t>
  </si>
  <si>
    <t xml:space="preserve">CÒBIT (RECERCA I ESTUDI DE NATURA DEL PENEDES) </t>
  </si>
  <si>
    <t>OLIVÉ RUEDA S.L</t>
  </si>
  <si>
    <t>2416/2020/CMN</t>
  </si>
  <si>
    <t>2419/2020/CMN</t>
  </si>
  <si>
    <t>2420/2020/CMN</t>
  </si>
  <si>
    <t>2422/2020/CMN</t>
  </si>
  <si>
    <t>2425/2020/CMN</t>
  </si>
  <si>
    <t>2505/2020/CMN</t>
  </si>
  <si>
    <t>2512/2020/CMN</t>
  </si>
  <si>
    <t>2513/2020/CMN</t>
  </si>
  <si>
    <t>Servei de producció i instal·lació d'una placa identificativa pel nou accés a l'alberg municipal de Joventut</t>
  </si>
  <si>
    <t>Subministrament d'un disc dura extern, de gran capacitat (4TB) per alliberar espai del
disc dur dels ordinadors de la Nau virtual de XXSS a l'Espai Jove La Nau</t>
  </si>
  <si>
    <t>Subministrament de papereria per la Fira
del Gall COVID-19</t>
  </si>
  <si>
    <t>Subministrament de senyalística per la Fira
del Gall COVID-1</t>
  </si>
  <si>
    <t>Servei de manteniment i suport del sistema gestor de base de dades Oracle any 2021</t>
  </si>
  <si>
    <t>Subministrament de cabines sanitàries per les parades dels mercats no sedentaris de la Girada, la Pelegrina i mercat de dissabte durant els
mesos de novembre i desembre</t>
  </si>
  <si>
    <t>Servei de publicitat de la Fira del Gall
COVID-19</t>
  </si>
  <si>
    <t>Subministrament material (Recull d'activitats per als Serveis Locals d'Ocupació) de la Diputació de Barcelona en el marc del Catàleg que s'emmarca dins el prorrogat Pla "Xarxa de Governs Locals 2016-2019": acció formativa "Necessites contractar personal?: Informa’t dels contractes de treball amb bonificació o reducció vigents” (13.10.2020)</t>
  </si>
  <si>
    <t>SILVIA FREIXEDES MARTÍNEZ</t>
  </si>
  <si>
    <t>BEEP Vila  S.C.P.</t>
  </si>
  <si>
    <t>GRÀFIQUES DEL FOIX S.L</t>
  </si>
  <si>
    <t>POPART INICIATIVES BCN SPORTS
CONSULTING S.L</t>
  </si>
  <si>
    <t>ORACLE IBERICA S.R.L</t>
  </si>
  <si>
    <t>TOI TOI SANITÁRIOS MÓVILES S.A</t>
  </si>
  <si>
    <t>YPA PROJECT (Yolanda Presa Alamillos),</t>
  </si>
  <si>
    <t>J66852286</t>
  </si>
  <si>
    <t>B78361482</t>
  </si>
  <si>
    <t>000837990P</t>
  </si>
  <si>
    <t>2498/2020/CMN</t>
  </si>
  <si>
    <t>2499/2020/CMN</t>
  </si>
  <si>
    <t>2501/2020/CMN</t>
  </si>
  <si>
    <t>2503/2020/CMN</t>
  </si>
  <si>
    <t>2504/2020/CMN</t>
  </si>
  <si>
    <t>2428/2020/CMN</t>
  </si>
  <si>
    <t>Subministrament de 10 faldons de tela ignífuga C-1 certificada de diferents mides, negra, plisada, amb la part de vellut de veta adherent de color negre cosit per a col·locació i 100 metres de veta adherent autoadhesiu</t>
  </si>
  <si>
    <t>Subministrament de material fungible i eines
d'estètica i perruqueria del Programa de Formació i Inserció de l'especialitat d'Auxiliar d'Imatge
Personal: Perruqueria i Estètic</t>
  </si>
  <si>
    <t>Servei de producció d'audiovisuals per la
promoció de la Fira del Gall Virtual COVID-19</t>
  </si>
  <si>
    <t>Subministrament de 4 martells demolidors elèctrics per a la seva utilització en el desenvolupament de les tasques de manteniment general de la via
pública per part del personal de la Unitat de Serveis.</t>
  </si>
  <si>
    <t>Realització d'un vídeo promocional de
la Fira del Gall COVID-19</t>
  </si>
  <si>
    <t>Servei de aixecament topogràfic en l'àmbit de la
Riera de Llitra, Camí Fariner</t>
  </si>
  <si>
    <t>B14546980</t>
  </si>
  <si>
    <t>A58625278</t>
  </si>
  <si>
    <t>47118121E</t>
  </si>
  <si>
    <t>B65992224</t>
  </si>
  <si>
    <t>B38115945T</t>
  </si>
  <si>
    <t>RAFITEXTIL DTT 3.8 S.L.U</t>
  </si>
  <si>
    <t>DESING SYSTEM S.A</t>
  </si>
  <si>
    <t>PAU SURIÀ CALVO</t>
  </si>
  <si>
    <t>RESTAURANT GAIG S.L.</t>
  </si>
  <si>
    <t>JOAN CONILL ESPINAS</t>
  </si>
  <si>
    <t xml:space="preserve">2700/2020/CMN
</t>
  </si>
  <si>
    <t>Representació de l'espectacle Sopar amb Batalla, amb text i direcció de Jordi Casanovas, al Teatre Cal Bolet, de la companyia Valvet Events,SL que es celebrarà el dia 11 de desembre 2020.</t>
  </si>
  <si>
    <t>B17603234</t>
  </si>
  <si>
    <t>Velvet Events SL</t>
  </si>
  <si>
    <t>2850/2020/CMN</t>
  </si>
  <si>
    <t xml:space="preserve">Contracte privat entre la Corporació Catalana de mitjans Audiovisuals, SA i l’Ajuntament de Vilafranca del Penedès per a la difusió/presència de Vilafranca dins d’espais d’informació de caràcter meteorològic i altres programes propis de la CCMA o dels canals en que la CCMA hi participi.
</t>
  </si>
  <si>
    <t xml:space="preserve">CORPORACIO CATALANA DE MITJANS AUDIOVISUALS, SA </t>
  </si>
  <si>
    <t>2889/2020/CMN</t>
  </si>
  <si>
    <t>Representació de l'espectacle Lú, al Teatre Cal Bolet  interpretat per Maduixa Teatre SL que es celebrarà el dia 27 de desembre 2020.</t>
  </si>
  <si>
    <t>B97998181</t>
  </si>
  <si>
    <t>Maduixa Teatre SL</t>
  </si>
  <si>
    <t>2439/2020/CMN</t>
  </si>
  <si>
    <t>2450/2020/CMN</t>
  </si>
  <si>
    <t>2455/2020/CMN</t>
  </si>
  <si>
    <t>Subministrament de 1.000 carnets-targetes de visita</t>
  </si>
  <si>
    <t xml:space="preserve">Servei de comercialització de la campanya de comerç </t>
  </si>
  <si>
    <t>Servei de disseny,
subministrament i instal·lació de 2 plafons adossats per als edificis patrimonials</t>
  </si>
  <si>
    <t>77313934D</t>
  </si>
  <si>
    <t>EMILI LUQUE PIÑOL</t>
  </si>
  <si>
    <t>GEOSILVA PROJECTES S.L.</t>
  </si>
  <si>
    <t>2461/2020/CMN</t>
  </si>
  <si>
    <t>2462/2020/CMN</t>
  </si>
  <si>
    <t>2463/2020/CMN</t>
  </si>
  <si>
    <t>2479/2020/CMN</t>
  </si>
  <si>
    <t>2487/2020/CMN</t>
  </si>
  <si>
    <t>Servei de consergeria
pels equipaments expositius i culturals gestionats pel Servei de Cultura</t>
  </si>
  <si>
    <t>Servei de manteniment i reparació dels remolcs propietat de l'Ajuntament de Vilafranca del Penedès pel 2021</t>
  </si>
  <si>
    <t>Servei de reparació de l'àliga de Vilafranca</t>
  </si>
  <si>
    <t>Subministramet de 5 ratolins sense fils, per l'edifici de l'enològica</t>
  </si>
  <si>
    <t>Servei de monitoratge de 3 activitats educatives "Sant Pau, el mirador de Vilafranca"</t>
  </si>
  <si>
    <t>B64876956</t>
  </si>
  <si>
    <t>A08788010</t>
  </si>
  <si>
    <t>39152798J</t>
  </si>
  <si>
    <t>F66815283</t>
  </si>
  <si>
    <t>INTEGRA MGSI
CET CATALUNYA, SL</t>
  </si>
  <si>
    <t>TORRALLARDONA S.A</t>
  </si>
  <si>
    <t>JORDIGRAU MARTÍ (Taller El Drac Petit)</t>
  </si>
  <si>
    <t>ABACUS C.O.O.P</t>
  </si>
  <si>
    <t>QUATRE PASSES.
Serveis Ambientals S.C.C.L</t>
  </si>
</sst>
</file>

<file path=xl/styles.xml><?xml version="1.0" encoding="utf-8"?>
<styleSheet xmlns="http://schemas.openxmlformats.org/spreadsheetml/2006/main">
  <numFmts count="3">
    <numFmt numFmtId="164" formatCode="#,##0.00\ &quot;€&quot;"/>
    <numFmt numFmtId="165" formatCode="dd/mm/yyyy;@"/>
    <numFmt numFmtId="166" formatCode="#,##0.0\ &quot;€&quot;"/>
  </numFmts>
  <fonts count="7">
    <font>
      <sz val="11"/>
      <color theme="1"/>
      <name val="Calibri"/>
      <family val="2"/>
      <scheme val="minor"/>
    </font>
    <font>
      <sz val="11"/>
      <color theme="3"/>
      <name val="Calibri"/>
      <family val="2"/>
      <scheme val="minor"/>
    </font>
    <font>
      <b/>
      <sz val="11"/>
      <color theme="3"/>
      <name val="Calibri"/>
      <family val="2"/>
      <scheme val="minor"/>
    </font>
    <font>
      <sz val="11"/>
      <name val="Calibri"/>
      <family val="2"/>
      <scheme val="minor"/>
    </font>
    <font>
      <sz val="10"/>
      <color theme="3"/>
      <name val="Calibri"/>
      <family val="2"/>
      <scheme val="minor"/>
    </font>
    <font>
      <sz val="10"/>
      <name val="Calibri"/>
      <family val="2"/>
      <scheme val="minor"/>
    </font>
    <font>
      <sz val="10"/>
      <color theme="0"/>
      <name val="Calibri"/>
      <family val="2"/>
      <scheme val="minor"/>
    </font>
  </fonts>
  <fills count="3">
    <fill>
      <patternFill patternType="none"/>
    </fill>
    <fill>
      <patternFill patternType="gray125"/>
    </fill>
    <fill>
      <patternFill patternType="solid">
        <fgColor theme="1"/>
        <bgColor indexed="64"/>
      </patternFill>
    </fill>
  </fills>
  <borders count="2">
    <border>
      <left/>
      <right/>
      <top/>
      <bottom/>
      <diagonal/>
    </border>
    <border>
      <left style="hair">
        <color auto="1"/>
      </left>
      <right style="hair">
        <color auto="1"/>
      </right>
      <top style="hair">
        <color auto="1"/>
      </top>
      <bottom style="hair">
        <color auto="1"/>
      </bottom>
      <diagonal/>
    </border>
  </borders>
  <cellStyleXfs count="1">
    <xf numFmtId="0" fontId="0" fillId="0" borderId="0"/>
  </cellStyleXfs>
  <cellXfs count="21">
    <xf numFmtId="0" fontId="0" fillId="0" borderId="0" xfId="0"/>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164" fontId="4" fillId="0" borderId="0" xfId="0" applyNumberFormat="1" applyFont="1" applyFill="1" applyBorder="1" applyAlignment="1">
      <alignment horizontal="center" vertical="center"/>
    </xf>
    <xf numFmtId="165" fontId="4" fillId="0" borderId="0" xfId="0" applyNumberFormat="1" applyFont="1" applyFill="1" applyBorder="1" applyAlignment="1">
      <alignment horizontal="center" vertical="center"/>
    </xf>
    <xf numFmtId="0" fontId="5" fillId="0" borderId="1" xfId="0" applyFont="1" applyFill="1" applyBorder="1" applyAlignment="1">
      <alignment horizontal="center" vertical="center"/>
    </xf>
    <xf numFmtId="164" fontId="5" fillId="0" borderId="1" xfId="0" applyNumberFormat="1" applyFont="1" applyFill="1" applyBorder="1" applyAlignment="1">
      <alignment horizontal="center" vertical="center"/>
    </xf>
    <xf numFmtId="14" fontId="5" fillId="0" borderId="1" xfId="0" applyNumberFormat="1" applyFont="1" applyFill="1" applyBorder="1" applyAlignment="1">
      <alignment horizontal="center" vertical="center"/>
    </xf>
    <xf numFmtId="165" fontId="5" fillId="0" borderId="1" xfId="0" applyNumberFormat="1" applyFont="1" applyFill="1" applyBorder="1" applyAlignment="1">
      <alignment horizontal="center" vertical="center"/>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lignment horizontal="center" vertical="center" wrapText="1"/>
    </xf>
    <xf numFmtId="14" fontId="5" fillId="0" borderId="1" xfId="0" applyNumberFormat="1" applyFont="1" applyFill="1" applyBorder="1" applyAlignment="1" applyProtection="1">
      <alignment horizontal="center" vertical="center" wrapText="1"/>
      <protection locked="0"/>
    </xf>
    <xf numFmtId="1" fontId="5" fillId="0" borderId="1" xfId="0" applyNumberFormat="1" applyFont="1" applyFill="1" applyBorder="1" applyAlignment="1" applyProtection="1">
      <alignment horizontal="center" vertical="center" wrapText="1"/>
      <protection locked="0"/>
    </xf>
    <xf numFmtId="166" fontId="5" fillId="0" borderId="1" xfId="0" applyNumberFormat="1" applyFont="1" applyFill="1" applyBorder="1" applyAlignment="1">
      <alignment horizontal="center" vertical="center"/>
    </xf>
    <xf numFmtId="0" fontId="5" fillId="0" borderId="1" xfId="0" applyFont="1" applyFill="1" applyBorder="1" applyAlignment="1">
      <alignment wrapText="1"/>
    </xf>
    <xf numFmtId="0" fontId="6" fillId="2" borderId="1" xfId="0" applyFont="1" applyFill="1" applyBorder="1" applyAlignment="1">
      <alignment horizontal="center" vertical="center" wrapText="1"/>
    </xf>
    <xf numFmtId="164" fontId="6" fillId="2" borderId="1" xfId="0" applyNumberFormat="1" applyFont="1" applyFill="1" applyBorder="1" applyAlignment="1">
      <alignment horizontal="center" vertical="center" wrapText="1"/>
    </xf>
    <xf numFmtId="165" fontId="6" fillId="2" borderId="1" xfId="0" applyNumberFormat="1" applyFont="1" applyFill="1" applyBorder="1" applyAlignment="1">
      <alignment horizontal="center" vertical="center" wrapText="1"/>
    </xf>
  </cellXfs>
  <cellStyles count="1">
    <cellStyle name="Normal" xfId="0" builtinId="0"/>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tableStyleElement type="wholeTable" dxfId="1"/>
      <tableStyleElement type="headerRow" dxfId="0"/>
    </tableStyle>
  </tableStyles>
  <colors>
    <mruColors>
      <color rgb="FFFF99CC"/>
    </mru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Registre%20p&#250;blic%20menys%20de%205000%20-%20carrega_contractes_menors_import_reduit%2020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Plantilla"/>
      <sheetName val="Hidden"/>
    </sheetNames>
    <sheetDataSet>
      <sheetData sheetId="0" refreshError="1"/>
      <sheetData sheetId="1">
        <row r="2">
          <cell r="A2" t="str">
            <v>90000331 - Ajuntament de Vilafranca del Penedès</v>
          </cell>
          <cell r="B2" t="str">
            <v>PU - 1. Contracte del Sector Públic</v>
          </cell>
          <cell r="C2" t="str">
            <v>OB - 1. OBRES</v>
          </cell>
          <cell r="I2" t="str">
            <v>ES - SPAIN (España)</v>
          </cell>
          <cell r="J2" t="str">
            <v>01 - Àlaba</v>
          </cell>
        </row>
        <row r="3">
          <cell r="B3" t="str">
            <v>PV - 2. Contracte Privat per a Adm. Pública</v>
          </cell>
          <cell r="C3" t="str">
            <v>SU - 3. SUBMINISTRAMENTS</v>
          </cell>
          <cell r="I3" t="str">
            <v>AF - AFGHANISTAN</v>
          </cell>
          <cell r="J3" t="str">
            <v>02 - Albacete</v>
          </cell>
        </row>
        <row r="4">
          <cell r="C4" t="str">
            <v>SE - 5. SERVEIS</v>
          </cell>
          <cell r="I4" t="str">
            <v>AL - ALBANIA</v>
          </cell>
          <cell r="J4" t="str">
            <v>03 - Alacant</v>
          </cell>
        </row>
        <row r="5">
          <cell r="I5" t="str">
            <v>DZ - ALGERIA</v>
          </cell>
          <cell r="J5" t="str">
            <v>04 - Almeria</v>
          </cell>
        </row>
        <row r="6">
          <cell r="I6" t="str">
            <v>AS - AMERICAN SAMOA</v>
          </cell>
          <cell r="J6" t="str">
            <v>05 - Àvila</v>
          </cell>
        </row>
        <row r="7">
          <cell r="I7" t="str">
            <v>AD - ANDORRA</v>
          </cell>
          <cell r="J7" t="str">
            <v>06 - Badajoz</v>
          </cell>
        </row>
        <row r="8">
          <cell r="I8" t="str">
            <v>AO - ANGOLA</v>
          </cell>
          <cell r="J8" t="str">
            <v>07 - Balears, Illes</v>
          </cell>
        </row>
        <row r="9">
          <cell r="I9" t="str">
            <v>AI - ANGUILLA</v>
          </cell>
          <cell r="J9" t="str">
            <v>08 - Barcelona</v>
          </cell>
        </row>
        <row r="10">
          <cell r="I10" t="str">
            <v>AQ - ANTARCTICA</v>
          </cell>
          <cell r="J10" t="str">
            <v>09 - Burgos</v>
          </cell>
        </row>
        <row r="11">
          <cell r="I11" t="str">
            <v>AG - ANTIGUA AND BARBUDA</v>
          </cell>
          <cell r="J11" t="str">
            <v>10 - Càceres</v>
          </cell>
        </row>
        <row r="12">
          <cell r="I12" t="str">
            <v>AR - ARGENTINA</v>
          </cell>
          <cell r="J12" t="str">
            <v>11 - Cadis</v>
          </cell>
        </row>
        <row r="13">
          <cell r="I13" t="str">
            <v>AM - ARMENIA</v>
          </cell>
          <cell r="J13" t="str">
            <v>12 - Castelló</v>
          </cell>
        </row>
        <row r="14">
          <cell r="I14" t="str">
            <v>AW - ARUBA</v>
          </cell>
          <cell r="J14" t="str">
            <v>13 - Ciutat Reial</v>
          </cell>
        </row>
        <row r="15">
          <cell r="I15" t="str">
            <v>AU - AUSTRALIA</v>
          </cell>
          <cell r="J15" t="str">
            <v>14 - Còrdova</v>
          </cell>
        </row>
        <row r="16">
          <cell r="I16" t="str">
            <v>AT - AUSTRIA</v>
          </cell>
          <cell r="J16" t="str">
            <v>15 - Corunya</v>
          </cell>
        </row>
        <row r="17">
          <cell r="I17" t="str">
            <v>AZ - AZERBAIJAN</v>
          </cell>
          <cell r="J17" t="str">
            <v>16 - Conca</v>
          </cell>
        </row>
        <row r="18">
          <cell r="I18" t="str">
            <v>BS - BAHAMAS</v>
          </cell>
          <cell r="J18" t="str">
            <v>17 - Girona</v>
          </cell>
        </row>
        <row r="19">
          <cell r="I19" t="str">
            <v>BH - BAHRAIN</v>
          </cell>
          <cell r="J19" t="str">
            <v>18 - Granada</v>
          </cell>
        </row>
        <row r="20">
          <cell r="I20" t="str">
            <v>BD - BANGLADESH</v>
          </cell>
          <cell r="J20" t="str">
            <v>19 - Guadalajara</v>
          </cell>
        </row>
        <row r="21">
          <cell r="I21" t="str">
            <v>BB - BARBADOS</v>
          </cell>
          <cell r="J21" t="str">
            <v>20 - Guipúscoa</v>
          </cell>
        </row>
        <row r="22">
          <cell r="I22" t="str">
            <v>BY - BELARUS</v>
          </cell>
          <cell r="J22" t="str">
            <v>21 - Huelva</v>
          </cell>
        </row>
        <row r="23">
          <cell r="I23" t="str">
            <v>BE - BELGIUM</v>
          </cell>
          <cell r="J23" t="str">
            <v>22 - Osca</v>
          </cell>
        </row>
        <row r="24">
          <cell r="I24" t="str">
            <v>BZ - BELIZE</v>
          </cell>
          <cell r="J24" t="str">
            <v>23 - Jaen</v>
          </cell>
        </row>
        <row r="25">
          <cell r="I25" t="str">
            <v>BJ - BENIN</v>
          </cell>
          <cell r="J25" t="str">
            <v>24 - Lleó</v>
          </cell>
        </row>
        <row r="26">
          <cell r="I26" t="str">
            <v>BM - BERMUDA</v>
          </cell>
          <cell r="J26" t="str">
            <v>25 - Lleida</v>
          </cell>
        </row>
        <row r="27">
          <cell r="I27" t="str">
            <v>BT - BHUTAN</v>
          </cell>
          <cell r="J27" t="str">
            <v>26 - La Rioja</v>
          </cell>
        </row>
        <row r="28">
          <cell r="I28" t="str">
            <v>BO - BOLIVIA</v>
          </cell>
          <cell r="J28" t="str">
            <v>27 - Lugo</v>
          </cell>
        </row>
        <row r="29">
          <cell r="I29" t="str">
            <v>BA - BOSNIA AND HERZEGOVINA</v>
          </cell>
          <cell r="J29" t="str">
            <v>28 - Madrid</v>
          </cell>
        </row>
        <row r="30">
          <cell r="I30" t="str">
            <v>BW - BOTSWANA</v>
          </cell>
          <cell r="J30" t="str">
            <v>29 - Màlaga</v>
          </cell>
        </row>
        <row r="31">
          <cell r="I31" t="str">
            <v>BV - BOUVET ISLAND</v>
          </cell>
          <cell r="J31" t="str">
            <v>30 - Múrcia</v>
          </cell>
        </row>
        <row r="32">
          <cell r="I32" t="str">
            <v>BR - BRAZIL</v>
          </cell>
          <cell r="J32" t="str">
            <v>31 - Navarra</v>
          </cell>
        </row>
        <row r="33">
          <cell r="I33" t="str">
            <v>IO - BRITISH INDIAN OCEAN TERRITORY</v>
          </cell>
          <cell r="J33" t="str">
            <v>32 - Ourense</v>
          </cell>
        </row>
        <row r="34">
          <cell r="I34" t="str">
            <v>BN - BRUNEI DARUSSALAM</v>
          </cell>
          <cell r="J34" t="str">
            <v>33 - Astúries</v>
          </cell>
        </row>
        <row r="35">
          <cell r="I35" t="str">
            <v>BG - BULGARIA</v>
          </cell>
          <cell r="J35" t="str">
            <v>34 - Palència</v>
          </cell>
        </row>
        <row r="36">
          <cell r="I36" t="str">
            <v>BF - BURKINA FASO</v>
          </cell>
          <cell r="J36" t="str">
            <v>35 - Palmas, Las</v>
          </cell>
        </row>
        <row r="37">
          <cell r="I37" t="str">
            <v>BI - BURUNDI</v>
          </cell>
          <cell r="J37" t="str">
            <v>36 - Pontevedra</v>
          </cell>
        </row>
        <row r="38">
          <cell r="I38" t="str">
            <v>KH - CAMBODIA</v>
          </cell>
          <cell r="J38" t="str">
            <v>37 - Salamanca</v>
          </cell>
        </row>
        <row r="39">
          <cell r="I39" t="str">
            <v>CM - CAMEROON</v>
          </cell>
          <cell r="J39" t="str">
            <v>38 - Santa Cruz de Tenerife</v>
          </cell>
        </row>
        <row r="40">
          <cell r="I40" t="str">
            <v>CA - CANADA</v>
          </cell>
          <cell r="J40" t="str">
            <v>39 - Cantàbria</v>
          </cell>
        </row>
        <row r="41">
          <cell r="I41" t="str">
            <v>CV - CAPE VERDE</v>
          </cell>
          <cell r="J41" t="str">
            <v>40 - Segòvia</v>
          </cell>
        </row>
        <row r="42">
          <cell r="I42" t="str">
            <v>KY - CAYMAN ISLANDS</v>
          </cell>
          <cell r="J42" t="str">
            <v>41 - Sevilla</v>
          </cell>
        </row>
        <row r="43">
          <cell r="I43" t="str">
            <v>CF - CENTRAL AFRICAN REPUBLIC</v>
          </cell>
          <cell r="J43" t="str">
            <v>42 - Sòria</v>
          </cell>
        </row>
        <row r="44">
          <cell r="I44" t="str">
            <v>XC - CEUTA</v>
          </cell>
          <cell r="J44" t="str">
            <v>43 - Tarragona</v>
          </cell>
        </row>
        <row r="45">
          <cell r="I45" t="str">
            <v>TD - CHAD (Tchad)</v>
          </cell>
          <cell r="J45" t="str">
            <v>44 - Terol</v>
          </cell>
        </row>
        <row r="46">
          <cell r="I46" t="str">
            <v>CL - CHILE</v>
          </cell>
          <cell r="J46" t="str">
            <v>45 - Toledo</v>
          </cell>
        </row>
        <row r="47">
          <cell r="I47" t="str">
            <v>CN - CHINA</v>
          </cell>
          <cell r="J47" t="str">
            <v>46 - València</v>
          </cell>
        </row>
        <row r="48">
          <cell r="I48" t="str">
            <v>CX - CHRISTMAS ISLAND</v>
          </cell>
          <cell r="J48" t="str">
            <v>47 - Valladolid</v>
          </cell>
        </row>
        <row r="49">
          <cell r="I49" t="str">
            <v>CC - COCOS (KEELING) ISLANDS</v>
          </cell>
          <cell r="J49" t="str">
            <v>48 - Biscaia</v>
          </cell>
        </row>
        <row r="50">
          <cell r="I50" t="str">
            <v>CO - COLOMBIA</v>
          </cell>
          <cell r="J50" t="str">
            <v>49 - Zamora</v>
          </cell>
        </row>
        <row r="51">
          <cell r="I51" t="str">
            <v>KM - COMOROS</v>
          </cell>
          <cell r="J51" t="str">
            <v>50 - Saragossa</v>
          </cell>
        </row>
        <row r="52">
          <cell r="I52" t="str">
            <v>CG - CONGO, REPUBLIC OF</v>
          </cell>
          <cell r="J52" t="str">
            <v>51 - Ceuta</v>
          </cell>
        </row>
        <row r="53">
          <cell r="I53" t="str">
            <v>CD - CONGO, THE DEMOCRATIC REPUBLIC OF THE (formerly Zaire)</v>
          </cell>
          <cell r="J53" t="str">
            <v>52 - Melilla</v>
          </cell>
        </row>
        <row r="54">
          <cell r="I54" t="str">
            <v>CK - COOK ISLANDS</v>
          </cell>
          <cell r="J54" t="str">
            <v>88 - Província UTE NC</v>
          </cell>
        </row>
        <row r="55">
          <cell r="I55" t="str">
            <v>CR - COSTA RICA</v>
          </cell>
          <cell r="J55" t="str">
            <v>98 - Diverses províncies</v>
          </cell>
        </row>
        <row r="56">
          <cell r="I56" t="str">
            <v>CI - CÔTE D'IVOIRE (Ivory Coast)</v>
          </cell>
          <cell r="J56" t="str">
            <v>99 - Província estrangera</v>
          </cell>
        </row>
        <row r="57">
          <cell r="I57" t="str">
            <v>HR - CROATIA (Hrvatska)</v>
          </cell>
        </row>
        <row r="58">
          <cell r="I58" t="str">
            <v>CU - CUBA</v>
          </cell>
        </row>
        <row r="59">
          <cell r="I59" t="str">
            <v>CY - CYPRUS</v>
          </cell>
        </row>
        <row r="60">
          <cell r="I60" t="str">
            <v>CZ - CZECH REPUBLIC</v>
          </cell>
        </row>
        <row r="61">
          <cell r="I61" t="str">
            <v>DK - DENMARK</v>
          </cell>
        </row>
        <row r="62">
          <cell r="I62" t="str">
            <v>DJ - DJIBOUTI</v>
          </cell>
        </row>
        <row r="63">
          <cell r="I63" t="str">
            <v>DM - DOMINICA</v>
          </cell>
        </row>
        <row r="64">
          <cell r="I64" t="str">
            <v>DO - DOMINICAN REPUBLIC</v>
          </cell>
        </row>
        <row r="65">
          <cell r="I65" t="str">
            <v>EC - ECUADOR</v>
          </cell>
        </row>
        <row r="66">
          <cell r="I66" t="str">
            <v>EG - EGYPT</v>
          </cell>
        </row>
        <row r="67">
          <cell r="I67" t="str">
            <v>SV - EL SALVADOR</v>
          </cell>
        </row>
        <row r="68">
          <cell r="I68" t="str">
            <v>GQ - EQUATORIAL GUINEA</v>
          </cell>
        </row>
        <row r="69">
          <cell r="I69" t="str">
            <v>ER - ERITREA</v>
          </cell>
        </row>
        <row r="70">
          <cell r="I70" t="str">
            <v>EE - ESTONIA</v>
          </cell>
        </row>
        <row r="71">
          <cell r="I71" t="str">
            <v>ET - ETHIOPIA</v>
          </cell>
        </row>
        <row r="72">
          <cell r="I72" t="str">
            <v>FO - FAEROE ISLANDS</v>
          </cell>
        </row>
        <row r="73">
          <cell r="I73" t="str">
            <v>FK - FALKLAND ISLANDS (MALVINAS)</v>
          </cell>
        </row>
        <row r="74">
          <cell r="I74" t="str">
            <v>FJ - FIJI</v>
          </cell>
        </row>
        <row r="75">
          <cell r="I75" t="str">
            <v>FI - FINLAND</v>
          </cell>
        </row>
        <row r="76">
          <cell r="I76" t="str">
            <v>FR - FRANCE</v>
          </cell>
        </row>
        <row r="77">
          <cell r="I77" t="str">
            <v>GF - FRENCH GUIANA</v>
          </cell>
        </row>
        <row r="78">
          <cell r="I78" t="str">
            <v>PF - FRENCH POLYNESIA</v>
          </cell>
        </row>
        <row r="79">
          <cell r="I79" t="str">
            <v>TF - FRENCH SOUTHERN TERRITORIES</v>
          </cell>
        </row>
        <row r="80">
          <cell r="I80" t="str">
            <v>GA - GABON</v>
          </cell>
        </row>
        <row r="81">
          <cell r="I81" t="str">
            <v>GM - GAMBIA, THE</v>
          </cell>
        </row>
        <row r="82">
          <cell r="I82" t="str">
            <v>GE - GEORGIA</v>
          </cell>
        </row>
        <row r="83">
          <cell r="I83" t="str">
            <v>DE - GERMANY (Deutschland)</v>
          </cell>
        </row>
        <row r="84">
          <cell r="I84" t="str">
            <v>GH - GHANA</v>
          </cell>
        </row>
        <row r="85">
          <cell r="I85" t="str">
            <v>GI - GIBRALTAR</v>
          </cell>
        </row>
        <row r="86">
          <cell r="I86" t="str">
            <v>GB - GREAT BRITAIN</v>
          </cell>
        </row>
        <row r="87">
          <cell r="I87" t="str">
            <v>GR - GREECE</v>
          </cell>
        </row>
        <row r="88">
          <cell r="I88" t="str">
            <v>GL - GREENLAND</v>
          </cell>
        </row>
        <row r="89">
          <cell r="I89" t="str">
            <v>GD - GRENADA</v>
          </cell>
        </row>
        <row r="90">
          <cell r="I90" t="str">
            <v>GP - GUADELOUPE</v>
          </cell>
        </row>
        <row r="91">
          <cell r="I91" t="str">
            <v>GU - GUAM</v>
          </cell>
        </row>
        <row r="92">
          <cell r="I92" t="str">
            <v>GT - GUATEMALA</v>
          </cell>
        </row>
        <row r="93">
          <cell r="I93" t="str">
            <v>GN - GUINEA</v>
          </cell>
        </row>
        <row r="94">
          <cell r="I94" t="str">
            <v>GW - GUINEA-BISSAU</v>
          </cell>
        </row>
        <row r="95">
          <cell r="I95" t="str">
            <v>GY - GUYANA</v>
          </cell>
        </row>
        <row r="96">
          <cell r="I96" t="str">
            <v>HT - HAITI</v>
          </cell>
        </row>
        <row r="97">
          <cell r="I97" t="str">
            <v>HM - HEARD ISLAND AND MCDONALD ISLANDS</v>
          </cell>
        </row>
        <row r="98">
          <cell r="I98" t="str">
            <v>HN - HONDURAS</v>
          </cell>
        </row>
        <row r="99">
          <cell r="I99" t="str">
            <v>HK - HONG KONG (Special Administrative Region of China)</v>
          </cell>
        </row>
        <row r="100">
          <cell r="I100" t="str">
            <v>HU - HUNGARY</v>
          </cell>
        </row>
        <row r="101">
          <cell r="I101" t="str">
            <v>IS - ICELAND</v>
          </cell>
        </row>
        <row r="102">
          <cell r="I102" t="str">
            <v>IN - INDIA</v>
          </cell>
        </row>
        <row r="103">
          <cell r="I103" t="str">
            <v>ID - INDONESIA</v>
          </cell>
        </row>
        <row r="104">
          <cell r="I104" t="str">
            <v>IR - IRAN (Islamic Republic of Iran)</v>
          </cell>
        </row>
        <row r="105">
          <cell r="I105" t="str">
            <v>IQ - IRAQ</v>
          </cell>
        </row>
        <row r="106">
          <cell r="I106" t="str">
            <v>IE - IRELAND</v>
          </cell>
        </row>
        <row r="107">
          <cell r="I107" t="str">
            <v>IL - ISRAEL</v>
          </cell>
        </row>
        <row r="108">
          <cell r="I108" t="str">
            <v>IT - ITALY</v>
          </cell>
        </row>
        <row r="109">
          <cell r="I109" t="str">
            <v>JM - JAMAICA</v>
          </cell>
        </row>
        <row r="110">
          <cell r="I110" t="str">
            <v>JP - JAPAN</v>
          </cell>
        </row>
        <row r="111">
          <cell r="I111" t="str">
            <v>JO - JORDAN (Hashemite Kingdom of Jordan)</v>
          </cell>
        </row>
        <row r="112">
          <cell r="I112" t="str">
            <v>KZ - KAZAKHSTAN</v>
          </cell>
        </row>
        <row r="113">
          <cell r="I113" t="str">
            <v>KE - KENYA</v>
          </cell>
        </row>
        <row r="114">
          <cell r="I114" t="str">
            <v>KI - KIRIBATI</v>
          </cell>
        </row>
        <row r="115">
          <cell r="I115" t="str">
            <v>KP - KOREA (Democratic Peoples Republic of [North] Korea)</v>
          </cell>
        </row>
        <row r="116">
          <cell r="I116" t="str">
            <v>KR - KOREA (Republic of [South] Korea)</v>
          </cell>
        </row>
        <row r="117">
          <cell r="I117" t="str">
            <v>XK - KOSOVO</v>
          </cell>
        </row>
        <row r="118">
          <cell r="I118" t="str">
            <v>KW - KUWAIT</v>
          </cell>
        </row>
        <row r="119">
          <cell r="I119" t="str">
            <v>KG - KYRGYZSTAN</v>
          </cell>
        </row>
        <row r="120">
          <cell r="I120" t="str">
            <v>LA - LAO PEOPLE'S DEMOCRATIC REPUBLIC</v>
          </cell>
        </row>
        <row r="121">
          <cell r="I121" t="str">
            <v>LV - LATVIA</v>
          </cell>
        </row>
        <row r="122">
          <cell r="I122" t="str">
            <v>LB - LEBANON</v>
          </cell>
        </row>
        <row r="123">
          <cell r="I123" t="str">
            <v>LS - LESOTHO</v>
          </cell>
        </row>
        <row r="124">
          <cell r="I124" t="str">
            <v>LR - LIBERIA</v>
          </cell>
        </row>
        <row r="125">
          <cell r="I125" t="str">
            <v>LY - LIBYA (Libyan Arab Jamahirya)</v>
          </cell>
        </row>
        <row r="126">
          <cell r="I126" t="str">
            <v>LI - LIECHTENSTEIN (Fürstentum Liechtenstein)</v>
          </cell>
        </row>
        <row r="127">
          <cell r="I127" t="str">
            <v>LT - LITHUANIA</v>
          </cell>
        </row>
        <row r="128">
          <cell r="I128" t="str">
            <v>LU - LUXEMBOURG</v>
          </cell>
        </row>
        <row r="129">
          <cell r="I129" t="str">
            <v>MO - MACAO (Special Administrative Region of China)</v>
          </cell>
        </row>
        <row r="130">
          <cell r="I130" t="str">
            <v>MK - MACEDONIA (Former Yugoslav Republic of Macedonia)</v>
          </cell>
        </row>
        <row r="131">
          <cell r="I131" t="str">
            <v>MG - MADAGASCAR</v>
          </cell>
        </row>
        <row r="132">
          <cell r="I132" t="str">
            <v>MW - MALAWI</v>
          </cell>
        </row>
        <row r="133">
          <cell r="I133" t="str">
            <v>MY - MALAYSIA</v>
          </cell>
        </row>
        <row r="134">
          <cell r="I134" t="str">
            <v>MV - MALDIVES</v>
          </cell>
        </row>
        <row r="135">
          <cell r="I135" t="str">
            <v>ML - MALI</v>
          </cell>
        </row>
        <row r="136">
          <cell r="I136" t="str">
            <v>MT - MALTA</v>
          </cell>
        </row>
        <row r="137">
          <cell r="I137" t="str">
            <v>MH - MARSHALL ISLANDS</v>
          </cell>
        </row>
        <row r="138">
          <cell r="I138" t="str">
            <v>MQ - MARTINIQUE</v>
          </cell>
        </row>
        <row r="139">
          <cell r="I139" t="str">
            <v>MR - MAURITANIA</v>
          </cell>
        </row>
        <row r="140">
          <cell r="I140" t="str">
            <v>MU - MAURITIUS</v>
          </cell>
        </row>
        <row r="141">
          <cell r="I141" t="str">
            <v>YT - MAYOTTE</v>
          </cell>
        </row>
        <row r="142">
          <cell r="I142" t="str">
            <v>XL - MELILLA</v>
          </cell>
        </row>
        <row r="143">
          <cell r="I143" t="str">
            <v>MX - MEXICO</v>
          </cell>
        </row>
        <row r="144">
          <cell r="I144" t="str">
            <v>FM - MICRONESIA (Federated States of Micronesia)</v>
          </cell>
        </row>
        <row r="145">
          <cell r="I145" t="str">
            <v>MD - MOLDOVA</v>
          </cell>
        </row>
        <row r="146">
          <cell r="I146" t="str">
            <v>MC - MONACO</v>
          </cell>
        </row>
        <row r="147">
          <cell r="I147" t="str">
            <v>MN - MONGOLIA</v>
          </cell>
        </row>
        <row r="148">
          <cell r="I148" t="str">
            <v>ME - Montenegro</v>
          </cell>
        </row>
        <row r="149">
          <cell r="I149" t="str">
            <v>MS - MONTSERRAT</v>
          </cell>
        </row>
        <row r="150">
          <cell r="I150" t="str">
            <v>MA - MOROCCO</v>
          </cell>
        </row>
        <row r="151">
          <cell r="I151" t="str">
            <v>MZ - MOZAMBIQUE (Moçambique)</v>
          </cell>
        </row>
        <row r="152">
          <cell r="I152" t="str">
            <v>MM - MYANMAR (formerly Burma)</v>
          </cell>
        </row>
        <row r="153">
          <cell r="I153" t="str">
            <v>NA - NAMIBIA</v>
          </cell>
        </row>
        <row r="154">
          <cell r="I154" t="str">
            <v>NR - NAURU</v>
          </cell>
        </row>
        <row r="155">
          <cell r="I155" t="str">
            <v>NP - NEPAL</v>
          </cell>
        </row>
        <row r="156">
          <cell r="I156" t="str">
            <v>NL - NETHERLANDS</v>
          </cell>
        </row>
        <row r="157">
          <cell r="I157" t="str">
            <v>AN - NETHERLANDS ANTILLES</v>
          </cell>
        </row>
        <row r="158">
          <cell r="I158" t="str">
            <v>NC - NEW CALEDONIA</v>
          </cell>
        </row>
        <row r="159">
          <cell r="I159" t="str">
            <v>NZ - NEW ZEALAND</v>
          </cell>
        </row>
        <row r="160">
          <cell r="I160" t="str">
            <v>NI - NICARAGUA</v>
          </cell>
        </row>
        <row r="161">
          <cell r="I161" t="str">
            <v>NE - NIGER</v>
          </cell>
        </row>
        <row r="162">
          <cell r="I162" t="str">
            <v>NG - NIGERIA</v>
          </cell>
        </row>
        <row r="163">
          <cell r="I163" t="str">
            <v>NU - NIUE</v>
          </cell>
        </row>
        <row r="164">
          <cell r="I164" t="str">
            <v>NF - NORFOLK ISLAND</v>
          </cell>
        </row>
        <row r="165">
          <cell r="I165" t="str">
            <v>MP - NORTHERN MARIANA ISLANDS</v>
          </cell>
        </row>
        <row r="166">
          <cell r="I166" t="str">
            <v>NO - NORWAY</v>
          </cell>
        </row>
        <row r="167">
          <cell r="I167" t="str">
            <v>OM - OMAN</v>
          </cell>
        </row>
        <row r="168">
          <cell r="I168" t="str">
            <v>PK - PAKISTAN</v>
          </cell>
        </row>
        <row r="169">
          <cell r="I169" t="str">
            <v>PW - PALAU</v>
          </cell>
        </row>
        <row r="170">
          <cell r="I170" t="str">
            <v>PS - PALESTINIAN TERRITORIES</v>
          </cell>
        </row>
        <row r="171">
          <cell r="I171" t="str">
            <v>PA - PANAMA</v>
          </cell>
        </row>
        <row r="172">
          <cell r="I172" t="str">
            <v>PG - PAPUA NEW GUINEA</v>
          </cell>
        </row>
        <row r="173">
          <cell r="I173" t="str">
            <v>PY - PARAGUAY</v>
          </cell>
        </row>
        <row r="174">
          <cell r="I174" t="str">
            <v>PE - PERU</v>
          </cell>
        </row>
        <row r="175">
          <cell r="I175" t="str">
            <v>PH - PHILIPPINES</v>
          </cell>
        </row>
        <row r="176">
          <cell r="I176" t="str">
            <v>PN - PITCAIRN</v>
          </cell>
        </row>
        <row r="177">
          <cell r="I177" t="str">
            <v>PL - POLAND</v>
          </cell>
        </row>
        <row r="178">
          <cell r="I178" t="str">
            <v>PT - PORTUGAL</v>
          </cell>
        </row>
        <row r="179">
          <cell r="I179" t="str">
            <v>PR - PUERTO RICO</v>
          </cell>
        </row>
        <row r="180">
          <cell r="I180" t="str">
            <v>QA - QATAR</v>
          </cell>
        </row>
        <row r="181">
          <cell r="I181" t="str">
            <v>RE - RÉUNION</v>
          </cell>
        </row>
        <row r="182">
          <cell r="I182" t="str">
            <v>RO - ROMANIA</v>
          </cell>
        </row>
        <row r="183">
          <cell r="I183" t="str">
            <v>RU - RUSSIAN FEDERATION</v>
          </cell>
        </row>
        <row r="184">
          <cell r="I184" t="str">
            <v>RW - RWANDA</v>
          </cell>
        </row>
        <row r="185">
          <cell r="I185" t="str">
            <v>SH - SAINT HELENA</v>
          </cell>
        </row>
        <row r="186">
          <cell r="I186" t="str">
            <v>KN - SAINT KITTS AND NEVIS</v>
          </cell>
        </row>
        <row r="187">
          <cell r="I187" t="str">
            <v>LC - SAINT LUCIA</v>
          </cell>
        </row>
        <row r="188">
          <cell r="I188" t="str">
            <v>PM - SAINT PIERRE AND MIQUELON</v>
          </cell>
        </row>
        <row r="189">
          <cell r="I189" t="str">
            <v>VC - SAINT VINCENT AND THE GRENADINES</v>
          </cell>
        </row>
        <row r="190">
          <cell r="I190" t="str">
            <v>WS - SAMOA (formerly Western Samoa)</v>
          </cell>
        </row>
        <row r="191">
          <cell r="I191" t="str">
            <v>SM - SAN MARINO (Republic of)</v>
          </cell>
        </row>
        <row r="192">
          <cell r="I192" t="str">
            <v>ST - SAO TOME AND PRINCIPE</v>
          </cell>
        </row>
        <row r="193">
          <cell r="I193" t="str">
            <v>SA - SAUDI ARABIA (Kingdom of Saudi Arabia)</v>
          </cell>
        </row>
        <row r="194">
          <cell r="I194" t="str">
            <v>SN - SENEGAL</v>
          </cell>
        </row>
        <row r="195">
          <cell r="I195" t="str">
            <v>RS - SÈRBIA</v>
          </cell>
        </row>
        <row r="196">
          <cell r="I196" t="str">
            <v>CS - SERBIA AND MONTENEGRO (formerly Yugoslavia)</v>
          </cell>
        </row>
        <row r="197">
          <cell r="I197" t="str">
            <v>SC - SEYCHELLES</v>
          </cell>
        </row>
        <row r="198">
          <cell r="I198" t="str">
            <v>SL - SIERRA LEONE</v>
          </cell>
        </row>
        <row r="199">
          <cell r="I199" t="str">
            <v>SG - SINGAPORE</v>
          </cell>
        </row>
        <row r="200">
          <cell r="I200" t="str">
            <v>SK - SLOVAKIA (Slovak Republic)</v>
          </cell>
        </row>
        <row r="201">
          <cell r="I201" t="str">
            <v>SI - SLOVENIA</v>
          </cell>
        </row>
        <row r="202">
          <cell r="I202" t="str">
            <v>SB - SOLOMON ISLANDS</v>
          </cell>
        </row>
        <row r="203">
          <cell r="I203" t="str">
            <v>SO - SOMALIA</v>
          </cell>
        </row>
        <row r="204">
          <cell r="I204" t="str">
            <v>ZA - SOUTH AFRICA (Zuid Afrika)</v>
          </cell>
        </row>
        <row r="205">
          <cell r="I205" t="str">
            <v>GS - SOUTH GEORGIA AND THE SOUTH SANDWICH ISLANDS</v>
          </cell>
        </row>
        <row r="206">
          <cell r="I206" t="str">
            <v>LK - SRI LANKA</v>
          </cell>
        </row>
        <row r="207">
          <cell r="I207" t="str">
            <v>SD - SUDAN</v>
          </cell>
        </row>
        <row r="208">
          <cell r="I208" t="str">
            <v>SR - SURINAME</v>
          </cell>
        </row>
        <row r="209">
          <cell r="I209" t="str">
            <v>SJ - SVALBARD AND JAN MAYEN</v>
          </cell>
        </row>
        <row r="210">
          <cell r="I210" t="str">
            <v>SZ - SWAZILAND</v>
          </cell>
        </row>
        <row r="211">
          <cell r="I211" t="str">
            <v>SE - SWEDEN</v>
          </cell>
        </row>
        <row r="212">
          <cell r="I212" t="str">
            <v>CH - SWITZERLAND (Confederation of Helvetia)</v>
          </cell>
        </row>
        <row r="213">
          <cell r="I213" t="str">
            <v>SY - SYRIAN ARAB REPUBLIC</v>
          </cell>
        </row>
        <row r="214">
          <cell r="I214" t="str">
            <v>TW - TAIWAN ("Chinese Taipei" for IOC)</v>
          </cell>
        </row>
        <row r="215">
          <cell r="I215" t="str">
            <v>TJ - TAJIKISTAN</v>
          </cell>
        </row>
        <row r="216">
          <cell r="I216" t="str">
            <v>TZ - TANZANIA</v>
          </cell>
        </row>
        <row r="217">
          <cell r="I217" t="str">
            <v>TH - THAILAND</v>
          </cell>
        </row>
        <row r="218">
          <cell r="I218" t="str">
            <v>TL - TIMOR-LESTE (formerly East Timor)</v>
          </cell>
        </row>
        <row r="219">
          <cell r="I219" t="str">
            <v>TG - TOGO</v>
          </cell>
        </row>
        <row r="220">
          <cell r="I220" t="str">
            <v>TK - TOKELAU</v>
          </cell>
        </row>
        <row r="221">
          <cell r="I221" t="str">
            <v>TO - TONGA</v>
          </cell>
        </row>
        <row r="222">
          <cell r="I222" t="str">
            <v>TT - TRINIDAD AND TOBAGO</v>
          </cell>
        </row>
        <row r="223">
          <cell r="I223" t="str">
            <v>TN - TUNISIA</v>
          </cell>
        </row>
        <row r="224">
          <cell r="I224" t="str">
            <v>TR - TURKEY</v>
          </cell>
        </row>
        <row r="225">
          <cell r="I225" t="str">
            <v>TM - TURKMENISTAN</v>
          </cell>
        </row>
        <row r="226">
          <cell r="I226" t="str">
            <v>TC - TURKS AND CAICOS ISLANDS</v>
          </cell>
        </row>
        <row r="227">
          <cell r="I227" t="str">
            <v>TV - TUVALU</v>
          </cell>
        </row>
        <row r="228">
          <cell r="I228" t="str">
            <v>UG - UGANDA</v>
          </cell>
        </row>
        <row r="229">
          <cell r="I229" t="str">
            <v>UA - UKRAINE</v>
          </cell>
        </row>
        <row r="230">
          <cell r="I230" t="str">
            <v>AE - UNITED ARAB EMIRATES</v>
          </cell>
        </row>
        <row r="231">
          <cell r="I231" t="str">
            <v>US - UNITED STATES</v>
          </cell>
        </row>
        <row r="232">
          <cell r="I232" t="str">
            <v>UM - UNITED STATES MINOR OUTLYING ISLANDS</v>
          </cell>
        </row>
        <row r="233">
          <cell r="I233" t="str">
            <v>UY - URUGUAY</v>
          </cell>
        </row>
        <row r="234">
          <cell r="I234" t="str">
            <v>88 - UTE NC</v>
          </cell>
        </row>
        <row r="235">
          <cell r="I235" t="str">
            <v>UZ - UZBEKISTAN</v>
          </cell>
        </row>
        <row r="236">
          <cell r="I236" t="str">
            <v>VU - VANUATU</v>
          </cell>
        </row>
        <row r="237">
          <cell r="I237" t="str">
            <v>VA - VATICAN CITY (Holy See)</v>
          </cell>
        </row>
        <row r="238">
          <cell r="I238" t="str">
            <v>VE - VENEZUELA</v>
          </cell>
        </row>
        <row r="239">
          <cell r="I239" t="str">
            <v>VN - VIET NAM</v>
          </cell>
        </row>
        <row r="240">
          <cell r="I240" t="str">
            <v>VG - VIRGIN ISLANDS, BRITISH</v>
          </cell>
        </row>
        <row r="241">
          <cell r="I241" t="str">
            <v>VI - VIRGIN ISLANDS, U.S.</v>
          </cell>
        </row>
        <row r="242">
          <cell r="I242" t="str">
            <v>WF - WALLIS AND FUTUNA</v>
          </cell>
        </row>
        <row r="243">
          <cell r="I243" t="str">
            <v>EH - WESTERN SAHARA (formerly Spanish Sahara)</v>
          </cell>
        </row>
        <row r="244">
          <cell r="I244" t="str">
            <v>YE - YEMEN</v>
          </cell>
        </row>
        <row r="245">
          <cell r="I245" t="str">
            <v>ZM - ZAMBIA</v>
          </cell>
        </row>
        <row r="246">
          <cell r="I246" t="str">
            <v>ZW - ZIMBABWE</v>
          </cell>
        </row>
        <row r="247">
          <cell r="I247" t="str">
            <v>AX - ÅLAND ISLANDS</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483"/>
  <sheetViews>
    <sheetView showGridLines="0" tabSelected="1" zoomScale="85" zoomScaleNormal="85" workbookViewId="0">
      <pane ySplit="1" topLeftCell="A2" activePane="bottomLeft" state="frozen"/>
      <selection pane="bottomLeft" activeCell="B502" sqref="B502"/>
    </sheetView>
  </sheetViews>
  <sheetFormatPr baseColWidth="10" defaultColWidth="11.42578125" defaultRowHeight="15"/>
  <cols>
    <col min="1" max="1" width="20.140625" style="5" bestFit="1" customWidth="1"/>
    <col min="2" max="2" width="11" style="5" customWidth="1"/>
    <col min="3" max="3" width="109.85546875" style="5" bestFit="1" customWidth="1"/>
    <col min="4" max="4" width="14.140625" style="6" customWidth="1"/>
    <col min="5" max="5" width="15.7109375" style="5" bestFit="1" customWidth="1"/>
    <col min="6" max="6" width="18.5703125" style="7" bestFit="1" customWidth="1"/>
    <col min="7" max="7" width="30.140625" style="5" customWidth="1"/>
    <col min="8" max="8" width="19.7109375" style="5" bestFit="1" customWidth="1"/>
    <col min="9" max="9" width="10" style="5" customWidth="1"/>
    <col min="10" max="16384" width="11.42578125" style="1"/>
  </cols>
  <sheetData>
    <row r="1" spans="1:9" s="2" customFormat="1" ht="63.75">
      <c r="A1" s="18" t="s">
        <v>0</v>
      </c>
      <c r="B1" s="18" t="s">
        <v>1</v>
      </c>
      <c r="C1" s="18" t="s">
        <v>2</v>
      </c>
      <c r="D1" s="19" t="s">
        <v>3</v>
      </c>
      <c r="E1" s="18" t="s">
        <v>7</v>
      </c>
      <c r="F1" s="20" t="s">
        <v>8</v>
      </c>
      <c r="G1" s="18" t="s">
        <v>5</v>
      </c>
      <c r="H1" s="18" t="s">
        <v>6</v>
      </c>
      <c r="I1" s="18" t="s">
        <v>4</v>
      </c>
    </row>
    <row r="2" spans="1:9">
      <c r="A2" s="8" t="s">
        <v>9</v>
      </c>
      <c r="B2" s="8">
        <v>2020</v>
      </c>
      <c r="C2" s="8" t="s">
        <v>10</v>
      </c>
      <c r="D2" s="9">
        <v>5989.5</v>
      </c>
      <c r="E2" s="10">
        <v>43880</v>
      </c>
      <c r="F2" s="11">
        <v>43909</v>
      </c>
      <c r="G2" s="8" t="s">
        <v>11</v>
      </c>
      <c r="H2" s="8" t="s">
        <v>12</v>
      </c>
      <c r="I2" s="8" t="s">
        <v>13</v>
      </c>
    </row>
    <row r="3" spans="1:9">
      <c r="A3" s="8" t="s">
        <v>14</v>
      </c>
      <c r="B3" s="8">
        <v>2020</v>
      </c>
      <c r="C3" s="8" t="s">
        <v>15</v>
      </c>
      <c r="D3" s="9">
        <v>4999</v>
      </c>
      <c r="E3" s="10">
        <v>44110</v>
      </c>
      <c r="F3" s="11">
        <v>44202</v>
      </c>
      <c r="G3" s="8" t="s">
        <v>16</v>
      </c>
      <c r="H3" s="8" t="s">
        <v>17</v>
      </c>
      <c r="I3" s="8" t="s">
        <v>13</v>
      </c>
    </row>
    <row r="4" spans="1:9">
      <c r="A4" s="8" t="s">
        <v>18</v>
      </c>
      <c r="B4" s="8">
        <v>2020</v>
      </c>
      <c r="C4" s="8" t="s">
        <v>19</v>
      </c>
      <c r="D4" s="9">
        <v>183.77</v>
      </c>
      <c r="E4" s="10">
        <v>44012</v>
      </c>
      <c r="F4" s="11">
        <v>44196</v>
      </c>
      <c r="G4" s="8" t="s">
        <v>20</v>
      </c>
      <c r="H4" s="8" t="s">
        <v>21</v>
      </c>
      <c r="I4" s="8" t="s">
        <v>22</v>
      </c>
    </row>
    <row r="5" spans="1:9">
      <c r="A5" s="8" t="s">
        <v>23</v>
      </c>
      <c r="B5" s="8">
        <v>2020</v>
      </c>
      <c r="C5" s="8" t="s">
        <v>24</v>
      </c>
      <c r="D5" s="9">
        <v>3000</v>
      </c>
      <c r="E5" s="10">
        <v>43900</v>
      </c>
      <c r="F5" s="11">
        <v>44196</v>
      </c>
      <c r="G5" s="8" t="s">
        <v>25</v>
      </c>
      <c r="H5" s="8" t="s">
        <v>26</v>
      </c>
      <c r="I5" s="8" t="s">
        <v>13</v>
      </c>
    </row>
    <row r="6" spans="1:9">
      <c r="A6" s="8" t="s">
        <v>27</v>
      </c>
      <c r="B6" s="8">
        <v>2020</v>
      </c>
      <c r="C6" s="8" t="s">
        <v>28</v>
      </c>
      <c r="D6" s="9">
        <v>4059.74</v>
      </c>
      <c r="E6" s="10">
        <v>43866</v>
      </c>
      <c r="F6" s="11">
        <v>44196</v>
      </c>
      <c r="G6" s="8" t="s">
        <v>29</v>
      </c>
      <c r="H6" s="8" t="s">
        <v>30</v>
      </c>
      <c r="I6" s="8" t="s">
        <v>22</v>
      </c>
    </row>
    <row r="7" spans="1:9">
      <c r="A7" s="8" t="s">
        <v>31</v>
      </c>
      <c r="B7" s="8">
        <v>2020</v>
      </c>
      <c r="C7" s="8" t="s">
        <v>32</v>
      </c>
      <c r="D7" s="9">
        <v>220.2</v>
      </c>
      <c r="E7" s="10">
        <v>43866</v>
      </c>
      <c r="F7" s="11">
        <v>44196</v>
      </c>
      <c r="G7" s="8" t="s">
        <v>29</v>
      </c>
      <c r="H7" s="8" t="s">
        <v>30</v>
      </c>
      <c r="I7" s="8" t="s">
        <v>22</v>
      </c>
    </row>
    <row r="8" spans="1:9">
      <c r="A8" s="8" t="s">
        <v>33</v>
      </c>
      <c r="B8" s="8">
        <v>2020</v>
      </c>
      <c r="C8" s="8" t="s">
        <v>34</v>
      </c>
      <c r="D8" s="9">
        <v>4483.05</v>
      </c>
      <c r="E8" s="10">
        <v>44008</v>
      </c>
      <c r="F8" s="11">
        <v>44196</v>
      </c>
      <c r="G8" s="8" t="s">
        <v>35</v>
      </c>
      <c r="H8" s="8" t="s">
        <v>36</v>
      </c>
      <c r="I8" s="8" t="s">
        <v>13</v>
      </c>
    </row>
    <row r="9" spans="1:9">
      <c r="A9" s="8" t="s">
        <v>37</v>
      </c>
      <c r="B9" s="8">
        <v>2020</v>
      </c>
      <c r="C9" s="8" t="s">
        <v>38</v>
      </c>
      <c r="D9" s="9">
        <f>599.03*1.21</f>
        <v>724.82629999999995</v>
      </c>
      <c r="E9" s="10">
        <v>43979</v>
      </c>
      <c r="F9" s="11">
        <v>44196</v>
      </c>
      <c r="G9" s="12" t="s">
        <v>39</v>
      </c>
      <c r="H9" s="12" t="s">
        <v>40</v>
      </c>
      <c r="I9" s="8" t="s">
        <v>13</v>
      </c>
    </row>
    <row r="10" spans="1:9" ht="25.5">
      <c r="A10" s="12" t="s">
        <v>41</v>
      </c>
      <c r="B10" s="8">
        <v>2020</v>
      </c>
      <c r="C10" s="12" t="s">
        <v>42</v>
      </c>
      <c r="D10" s="9">
        <f>431.41*1.21</f>
        <v>522.00610000000006</v>
      </c>
      <c r="E10" s="10">
        <v>43894</v>
      </c>
      <c r="F10" s="11">
        <v>44196</v>
      </c>
      <c r="G10" s="13" t="s">
        <v>432</v>
      </c>
      <c r="H10" s="12" t="s">
        <v>43</v>
      </c>
      <c r="I10" s="8" t="s">
        <v>13</v>
      </c>
    </row>
    <row r="11" spans="1:9" ht="25.5">
      <c r="A11" s="12" t="s">
        <v>44</v>
      </c>
      <c r="B11" s="8">
        <v>2020</v>
      </c>
      <c r="C11" s="13" t="s">
        <v>45</v>
      </c>
      <c r="D11" s="9">
        <f>438.01*1.21</f>
        <v>529.99209999999994</v>
      </c>
      <c r="E11" s="10">
        <v>43894</v>
      </c>
      <c r="F11" s="11">
        <v>44196</v>
      </c>
      <c r="G11" s="12" t="s">
        <v>46</v>
      </c>
      <c r="H11" s="12" t="s">
        <v>47</v>
      </c>
      <c r="I11" s="8" t="s">
        <v>13</v>
      </c>
    </row>
    <row r="12" spans="1:9">
      <c r="A12" s="12" t="s">
        <v>48</v>
      </c>
      <c r="B12" s="8">
        <v>2020</v>
      </c>
      <c r="C12" s="12" t="s">
        <v>49</v>
      </c>
      <c r="D12" s="9">
        <v>300</v>
      </c>
      <c r="E12" s="10">
        <v>44000</v>
      </c>
      <c r="F12" s="11">
        <v>44111</v>
      </c>
      <c r="G12" s="12" t="s">
        <v>50</v>
      </c>
      <c r="H12" s="12" t="s">
        <v>51</v>
      </c>
      <c r="I12" s="8" t="s">
        <v>13</v>
      </c>
    </row>
    <row r="13" spans="1:9">
      <c r="A13" s="12" t="s">
        <v>52</v>
      </c>
      <c r="B13" s="8">
        <v>2020</v>
      </c>
      <c r="C13" s="12" t="s">
        <v>53</v>
      </c>
      <c r="D13" s="9">
        <f>498.42*1.21</f>
        <v>603.08820000000003</v>
      </c>
      <c r="E13" s="14">
        <v>43899</v>
      </c>
      <c r="F13" s="11">
        <v>44196</v>
      </c>
      <c r="G13" s="12" t="s">
        <v>54</v>
      </c>
      <c r="H13" s="12" t="s">
        <v>55</v>
      </c>
      <c r="I13" s="8" t="s">
        <v>13</v>
      </c>
    </row>
    <row r="14" spans="1:9">
      <c r="A14" s="12" t="s">
        <v>56</v>
      </c>
      <c r="B14" s="8">
        <v>2020</v>
      </c>
      <c r="C14" s="12" t="s">
        <v>57</v>
      </c>
      <c r="D14" s="9">
        <f>1200*1.21</f>
        <v>1452</v>
      </c>
      <c r="E14" s="10">
        <v>44000</v>
      </c>
      <c r="F14" s="11">
        <v>44104</v>
      </c>
      <c r="G14" s="12" t="s">
        <v>58</v>
      </c>
      <c r="H14" s="12" t="s">
        <v>59</v>
      </c>
      <c r="I14" s="8" t="s">
        <v>13</v>
      </c>
    </row>
    <row r="15" spans="1:9" ht="25.5">
      <c r="A15" s="12" t="s">
        <v>60</v>
      </c>
      <c r="B15" s="8">
        <v>2020</v>
      </c>
      <c r="C15" s="12" t="s">
        <v>61</v>
      </c>
      <c r="D15" s="9">
        <f>4700*1.1</f>
        <v>5170</v>
      </c>
      <c r="E15" s="14">
        <v>43900</v>
      </c>
      <c r="F15" s="11">
        <v>44196</v>
      </c>
      <c r="G15" s="12" t="s">
        <v>62</v>
      </c>
      <c r="H15" s="13" t="s">
        <v>63</v>
      </c>
      <c r="I15" s="8" t="s">
        <v>13</v>
      </c>
    </row>
    <row r="16" spans="1:9">
      <c r="A16" s="12" t="s">
        <v>64</v>
      </c>
      <c r="B16" s="8">
        <v>2020</v>
      </c>
      <c r="C16" s="12" t="s">
        <v>65</v>
      </c>
      <c r="D16" s="9">
        <f>235.8*1.21</f>
        <v>285.31799999999998</v>
      </c>
      <c r="E16" s="14">
        <v>43903</v>
      </c>
      <c r="F16" s="11">
        <v>44196</v>
      </c>
      <c r="G16" s="12" t="s">
        <v>67</v>
      </c>
      <c r="H16" s="12" t="s">
        <v>66</v>
      </c>
      <c r="I16" s="8" t="s">
        <v>13</v>
      </c>
    </row>
    <row r="17" spans="1:9" ht="25.5">
      <c r="A17" s="12" t="s">
        <v>68</v>
      </c>
      <c r="B17" s="8">
        <v>2020</v>
      </c>
      <c r="C17" s="12" t="s">
        <v>69</v>
      </c>
      <c r="D17" s="9">
        <f>578.51*1.21</f>
        <v>699.99709999999993</v>
      </c>
      <c r="E17" s="13" t="s">
        <v>72</v>
      </c>
      <c r="F17" s="11">
        <v>44196</v>
      </c>
      <c r="G17" s="12" t="s">
        <v>71</v>
      </c>
      <c r="H17" s="12" t="s">
        <v>70</v>
      </c>
      <c r="I17" s="8" t="s">
        <v>13</v>
      </c>
    </row>
    <row r="18" spans="1:9">
      <c r="A18" s="12" t="s">
        <v>73</v>
      </c>
      <c r="B18" s="8">
        <v>2020</v>
      </c>
      <c r="C18" s="12" t="s">
        <v>74</v>
      </c>
      <c r="D18" s="9">
        <f>3300*1.21</f>
        <v>3993</v>
      </c>
      <c r="E18" s="14">
        <v>43895</v>
      </c>
      <c r="F18" s="11">
        <v>44196</v>
      </c>
      <c r="G18" s="12" t="s">
        <v>76</v>
      </c>
      <c r="H18" s="12" t="s">
        <v>75</v>
      </c>
      <c r="I18" s="8" t="s">
        <v>13</v>
      </c>
    </row>
    <row r="19" spans="1:9" ht="25.5">
      <c r="A19" s="12" t="s">
        <v>77</v>
      </c>
      <c r="B19" s="8">
        <v>2020</v>
      </c>
      <c r="C19" s="12" t="s">
        <v>78</v>
      </c>
      <c r="D19" s="9">
        <f>1152.39*1.21</f>
        <v>1394.3919000000001</v>
      </c>
      <c r="E19" s="14">
        <v>43895</v>
      </c>
      <c r="F19" s="11">
        <v>44196</v>
      </c>
      <c r="G19" s="12" t="s">
        <v>80</v>
      </c>
      <c r="H19" s="13" t="s">
        <v>79</v>
      </c>
      <c r="I19" s="8" t="s">
        <v>13</v>
      </c>
    </row>
    <row r="20" spans="1:9" ht="25.5">
      <c r="A20" s="12" t="s">
        <v>81</v>
      </c>
      <c r="B20" s="8">
        <v>2020</v>
      </c>
      <c r="C20" s="13" t="s">
        <v>82</v>
      </c>
      <c r="D20" s="9">
        <v>360</v>
      </c>
      <c r="E20" s="14">
        <v>43985</v>
      </c>
      <c r="F20" s="11">
        <v>44150</v>
      </c>
      <c r="G20" s="12" t="s">
        <v>84</v>
      </c>
      <c r="H20" s="13" t="s">
        <v>83</v>
      </c>
      <c r="I20" s="8" t="s">
        <v>22</v>
      </c>
    </row>
    <row r="21" spans="1:9">
      <c r="A21" s="12" t="s">
        <v>85</v>
      </c>
      <c r="B21" s="8">
        <v>2020</v>
      </c>
      <c r="C21" s="12" t="s">
        <v>86</v>
      </c>
      <c r="D21" s="9">
        <f>354*1.21</f>
        <v>428.34</v>
      </c>
      <c r="E21" s="14">
        <v>44110</v>
      </c>
      <c r="F21" s="11">
        <v>44196</v>
      </c>
      <c r="G21" s="12" t="s">
        <v>88</v>
      </c>
      <c r="H21" s="12" t="s">
        <v>87</v>
      </c>
      <c r="I21" s="8" t="s">
        <v>13</v>
      </c>
    </row>
    <row r="22" spans="1:9" ht="38.25">
      <c r="A22" s="12" t="s">
        <v>89</v>
      </c>
      <c r="B22" s="8">
        <v>2020</v>
      </c>
      <c r="C22" s="12" t="s">
        <v>90</v>
      </c>
      <c r="D22" s="9">
        <f>826.44*1.21</f>
        <v>999.99240000000009</v>
      </c>
      <c r="E22" s="14">
        <v>43985</v>
      </c>
      <c r="F22" s="11">
        <v>44196</v>
      </c>
      <c r="G22" s="13" t="s">
        <v>92</v>
      </c>
      <c r="H22" s="12" t="s">
        <v>91</v>
      </c>
      <c r="I22" s="8" t="s">
        <v>13</v>
      </c>
    </row>
    <row r="23" spans="1:9" ht="25.5">
      <c r="A23" s="12" t="s">
        <v>93</v>
      </c>
      <c r="B23" s="8">
        <v>2020</v>
      </c>
      <c r="C23" s="12" t="s">
        <v>90</v>
      </c>
      <c r="D23" s="9">
        <f>826.44*1.21</f>
        <v>999.99240000000009</v>
      </c>
      <c r="E23" s="14">
        <v>43896</v>
      </c>
      <c r="F23" s="11">
        <v>44196</v>
      </c>
      <c r="G23" s="12" t="s">
        <v>95</v>
      </c>
      <c r="H23" s="12" t="s">
        <v>94</v>
      </c>
      <c r="I23" s="8" t="s">
        <v>13</v>
      </c>
    </row>
    <row r="24" spans="1:9">
      <c r="A24" s="12" t="s">
        <v>96</v>
      </c>
      <c r="B24" s="8">
        <v>2020</v>
      </c>
      <c r="C24" s="12" t="s">
        <v>90</v>
      </c>
      <c r="D24" s="9">
        <f>826.44*1.21</f>
        <v>999.99240000000009</v>
      </c>
      <c r="E24" s="14">
        <v>43896</v>
      </c>
      <c r="F24" s="11">
        <v>44196</v>
      </c>
      <c r="G24" s="12" t="s">
        <v>98</v>
      </c>
      <c r="H24" s="15" t="s">
        <v>97</v>
      </c>
      <c r="I24" s="8" t="s">
        <v>13</v>
      </c>
    </row>
    <row r="25" spans="1:9">
      <c r="A25" s="12" t="s">
        <v>99</v>
      </c>
      <c r="B25" s="8">
        <v>2020</v>
      </c>
      <c r="C25" s="12" t="s">
        <v>100</v>
      </c>
      <c r="D25" s="9">
        <f>425</f>
        <v>425</v>
      </c>
      <c r="E25" s="14">
        <v>43900</v>
      </c>
      <c r="F25" s="11">
        <v>44196</v>
      </c>
      <c r="G25" s="12" t="s">
        <v>102</v>
      </c>
      <c r="H25" s="12" t="s">
        <v>101</v>
      </c>
      <c r="I25" s="8" t="s">
        <v>13</v>
      </c>
    </row>
    <row r="26" spans="1:9" ht="25.5">
      <c r="A26" s="13" t="s">
        <v>103</v>
      </c>
      <c r="B26" s="8">
        <v>2020</v>
      </c>
      <c r="C26" s="12" t="s">
        <v>104</v>
      </c>
      <c r="D26" s="9">
        <v>340</v>
      </c>
      <c r="E26" s="14">
        <v>43900</v>
      </c>
      <c r="F26" s="11">
        <v>44196</v>
      </c>
      <c r="G26" s="12" t="s">
        <v>102</v>
      </c>
      <c r="H26" s="12" t="s">
        <v>105</v>
      </c>
      <c r="I26" s="8" t="s">
        <v>13</v>
      </c>
    </row>
    <row r="27" spans="1:9" ht="25.5">
      <c r="A27" s="12" t="s">
        <v>106</v>
      </c>
      <c r="B27" s="8">
        <v>2020</v>
      </c>
      <c r="C27" s="12" t="s">
        <v>107</v>
      </c>
      <c r="D27" s="9">
        <v>480</v>
      </c>
      <c r="E27" s="14">
        <v>43900</v>
      </c>
      <c r="F27" s="11">
        <v>43957</v>
      </c>
      <c r="G27" s="12" t="s">
        <v>109</v>
      </c>
      <c r="H27" s="13" t="s">
        <v>108</v>
      </c>
      <c r="I27" s="8" t="s">
        <v>13</v>
      </c>
    </row>
    <row r="28" spans="1:9">
      <c r="A28" s="12" t="s">
        <v>110</v>
      </c>
      <c r="B28" s="8">
        <v>2020</v>
      </c>
      <c r="C28" s="12" t="s">
        <v>196</v>
      </c>
      <c r="D28" s="9">
        <v>960</v>
      </c>
      <c r="E28" s="14">
        <v>43900</v>
      </c>
      <c r="F28" s="11">
        <v>44112</v>
      </c>
      <c r="G28" s="12" t="s">
        <v>356</v>
      </c>
      <c r="H28" s="12" t="s">
        <v>281</v>
      </c>
      <c r="I28" s="8" t="s">
        <v>13</v>
      </c>
    </row>
    <row r="29" spans="1:9">
      <c r="A29" s="12" t="s">
        <v>111</v>
      </c>
      <c r="B29" s="8">
        <v>2020</v>
      </c>
      <c r="C29" s="12" t="s">
        <v>197</v>
      </c>
      <c r="D29" s="9">
        <f>300*1.21</f>
        <v>363</v>
      </c>
      <c r="E29" s="14">
        <v>43896</v>
      </c>
      <c r="F29" s="11">
        <v>44196</v>
      </c>
      <c r="G29" s="12" t="s">
        <v>357</v>
      </c>
      <c r="H29" s="12" t="s">
        <v>282</v>
      </c>
      <c r="I29" s="8" t="s">
        <v>13</v>
      </c>
    </row>
    <row r="30" spans="1:9">
      <c r="A30" s="12" t="s">
        <v>112</v>
      </c>
      <c r="B30" s="8">
        <v>2020</v>
      </c>
      <c r="C30" s="12" t="s">
        <v>198</v>
      </c>
      <c r="D30" s="9">
        <f>299.34*1.21</f>
        <v>362.20139999999998</v>
      </c>
      <c r="E30" s="14">
        <v>43962</v>
      </c>
      <c r="F30" s="11">
        <f>E30+20</f>
        <v>43982</v>
      </c>
      <c r="G30" s="12" t="s">
        <v>358</v>
      </c>
      <c r="H30" s="12" t="s">
        <v>283</v>
      </c>
      <c r="I30" s="8" t="s">
        <v>13</v>
      </c>
    </row>
    <row r="31" spans="1:9">
      <c r="A31" s="12" t="s">
        <v>113</v>
      </c>
      <c r="B31" s="8">
        <v>2020</v>
      </c>
      <c r="C31" s="12" t="s">
        <v>199</v>
      </c>
      <c r="D31" s="9">
        <f>7500*1.21</f>
        <v>9075</v>
      </c>
      <c r="E31" s="14">
        <v>43896</v>
      </c>
      <c r="F31" s="11">
        <v>43905</v>
      </c>
      <c r="G31" s="12" t="s">
        <v>359</v>
      </c>
      <c r="H31" s="12" t="s">
        <v>284</v>
      </c>
      <c r="I31" s="8" t="s">
        <v>13</v>
      </c>
    </row>
    <row r="32" spans="1:9">
      <c r="A32" s="12" t="s">
        <v>114</v>
      </c>
      <c r="B32" s="8">
        <v>2020</v>
      </c>
      <c r="C32" s="12" t="s">
        <v>200</v>
      </c>
      <c r="D32" s="9">
        <f>1092.75*1.21</f>
        <v>1322.2275</v>
      </c>
      <c r="E32" s="14">
        <v>43959</v>
      </c>
      <c r="F32" s="11">
        <f>E32+30</f>
        <v>43989</v>
      </c>
      <c r="G32" s="12" t="s">
        <v>360</v>
      </c>
      <c r="H32" s="12" t="s">
        <v>285</v>
      </c>
      <c r="I32" s="8" t="s">
        <v>13</v>
      </c>
    </row>
    <row r="33" spans="1:9">
      <c r="A33" s="12" t="s">
        <v>115</v>
      </c>
      <c r="B33" s="8">
        <v>2020</v>
      </c>
      <c r="C33" s="12" t="s">
        <v>201</v>
      </c>
      <c r="D33" s="9">
        <f>4364.29*1.21</f>
        <v>5280.7909</v>
      </c>
      <c r="E33" s="14">
        <v>43900</v>
      </c>
      <c r="F33" s="11">
        <v>44196</v>
      </c>
      <c r="G33" s="12" t="s">
        <v>361</v>
      </c>
      <c r="H33" s="12" t="s">
        <v>286</v>
      </c>
      <c r="I33" s="8" t="s">
        <v>13</v>
      </c>
    </row>
    <row r="34" spans="1:9">
      <c r="A34" s="12" t="s">
        <v>435</v>
      </c>
      <c r="B34" s="8">
        <v>2020</v>
      </c>
      <c r="C34" s="12" t="s">
        <v>202</v>
      </c>
      <c r="D34" s="9">
        <f>7500*1.21</f>
        <v>9075</v>
      </c>
      <c r="E34" s="14">
        <v>43900</v>
      </c>
      <c r="F34" s="11">
        <v>43903</v>
      </c>
      <c r="G34" s="12" t="s">
        <v>362</v>
      </c>
      <c r="H34" s="12" t="s">
        <v>287</v>
      </c>
      <c r="I34" s="8" t="s">
        <v>13</v>
      </c>
    </row>
    <row r="35" spans="1:9" ht="25.5">
      <c r="A35" s="12" t="s">
        <v>116</v>
      </c>
      <c r="B35" s="8">
        <v>2020</v>
      </c>
      <c r="C35" s="12" t="s">
        <v>203</v>
      </c>
      <c r="D35" s="9">
        <f>3680.39*1.21</f>
        <v>4453.2718999999997</v>
      </c>
      <c r="E35" s="14">
        <v>43900</v>
      </c>
      <c r="F35" s="11">
        <v>44196</v>
      </c>
      <c r="G35" s="12" t="s">
        <v>363</v>
      </c>
      <c r="H35" s="12" t="s">
        <v>288</v>
      </c>
      <c r="I35" s="8" t="s">
        <v>13</v>
      </c>
    </row>
    <row r="36" spans="1:9" ht="25.5">
      <c r="A36" s="12" t="s">
        <v>117</v>
      </c>
      <c r="B36" s="8">
        <v>2020</v>
      </c>
      <c r="C36" s="12" t="s">
        <v>433</v>
      </c>
      <c r="D36" s="9">
        <f>148.8*1.21</f>
        <v>180.048</v>
      </c>
      <c r="E36" s="14">
        <v>43922</v>
      </c>
      <c r="F36" s="11">
        <v>44196</v>
      </c>
      <c r="G36" s="12" t="s">
        <v>364</v>
      </c>
      <c r="H36" s="12" t="s">
        <v>289</v>
      </c>
      <c r="I36" s="8" t="s">
        <v>13</v>
      </c>
    </row>
    <row r="37" spans="1:9" ht="25.5">
      <c r="A37" s="12" t="s">
        <v>118</v>
      </c>
      <c r="B37" s="8">
        <v>2020</v>
      </c>
      <c r="C37" s="12" t="s">
        <v>204</v>
      </c>
      <c r="D37" s="9">
        <f>3200*1.21</f>
        <v>3872</v>
      </c>
      <c r="E37" s="14">
        <v>43900</v>
      </c>
      <c r="F37" s="11">
        <v>44196</v>
      </c>
      <c r="G37" s="12" t="s">
        <v>365</v>
      </c>
      <c r="H37" s="12" t="s">
        <v>290</v>
      </c>
      <c r="I37" s="8" t="s">
        <v>13</v>
      </c>
    </row>
    <row r="38" spans="1:9" ht="25.5">
      <c r="A38" s="12" t="s">
        <v>119</v>
      </c>
      <c r="B38" s="8">
        <v>2020</v>
      </c>
      <c r="C38" s="12" t="s">
        <v>205</v>
      </c>
      <c r="D38" s="9">
        <v>1500</v>
      </c>
      <c r="E38" s="14">
        <v>44182</v>
      </c>
      <c r="F38" s="11">
        <v>44196</v>
      </c>
      <c r="G38" s="12" t="s">
        <v>366</v>
      </c>
      <c r="H38" s="12" t="s">
        <v>291</v>
      </c>
      <c r="I38" s="8" t="s">
        <v>13</v>
      </c>
    </row>
    <row r="39" spans="1:9">
      <c r="A39" s="12" t="s">
        <v>120</v>
      </c>
      <c r="B39" s="8">
        <v>2020</v>
      </c>
      <c r="C39" s="12" t="s">
        <v>206</v>
      </c>
      <c r="D39" s="9">
        <f>1170*1.21</f>
        <v>1415.7</v>
      </c>
      <c r="E39" s="14">
        <v>43944</v>
      </c>
      <c r="F39" s="11">
        <f>E39+75</f>
        <v>44019</v>
      </c>
      <c r="G39" s="12" t="s">
        <v>367</v>
      </c>
      <c r="H39" s="12" t="s">
        <v>292</v>
      </c>
      <c r="I39" s="8" t="s">
        <v>13</v>
      </c>
    </row>
    <row r="40" spans="1:9">
      <c r="A40" s="12" t="s">
        <v>121</v>
      </c>
      <c r="B40" s="8">
        <v>2020</v>
      </c>
      <c r="C40" s="12" t="s">
        <v>207</v>
      </c>
      <c r="D40" s="9">
        <f>1258*1.21</f>
        <v>1522.18</v>
      </c>
      <c r="E40" s="14">
        <v>43946</v>
      </c>
      <c r="F40" s="11">
        <f>E40+75</f>
        <v>44021</v>
      </c>
      <c r="G40" s="12" t="s">
        <v>367</v>
      </c>
      <c r="H40" s="12" t="s">
        <v>292</v>
      </c>
      <c r="I40" s="8" t="s">
        <v>13</v>
      </c>
    </row>
    <row r="41" spans="1:9">
      <c r="A41" s="12" t="s">
        <v>122</v>
      </c>
      <c r="B41" s="8">
        <v>2020</v>
      </c>
      <c r="C41" s="12" t="s">
        <v>208</v>
      </c>
      <c r="D41" s="9">
        <f>1388*1.21</f>
        <v>1679.48</v>
      </c>
      <c r="E41" s="14">
        <v>43958</v>
      </c>
      <c r="F41" s="11">
        <v>44196</v>
      </c>
      <c r="G41" s="12" t="s">
        <v>368</v>
      </c>
      <c r="H41" s="12" t="s">
        <v>293</v>
      </c>
      <c r="I41" s="8" t="s">
        <v>13</v>
      </c>
    </row>
    <row r="42" spans="1:9">
      <c r="A42" s="12" t="s">
        <v>123</v>
      </c>
      <c r="B42" s="8">
        <v>2020</v>
      </c>
      <c r="C42" s="12" t="s">
        <v>209</v>
      </c>
      <c r="D42" s="9">
        <f>120*1.21</f>
        <v>145.19999999999999</v>
      </c>
      <c r="E42" s="14">
        <v>43958</v>
      </c>
      <c r="F42" s="11">
        <v>44196</v>
      </c>
      <c r="G42" s="12" t="s">
        <v>369</v>
      </c>
      <c r="H42" s="12" t="s">
        <v>294</v>
      </c>
      <c r="I42" s="8" t="s">
        <v>13</v>
      </c>
    </row>
    <row r="43" spans="1:9">
      <c r="A43" s="12" t="s">
        <v>124</v>
      </c>
      <c r="B43" s="8">
        <v>2020</v>
      </c>
      <c r="C43" s="12" t="s">
        <v>210</v>
      </c>
      <c r="D43" s="9">
        <f>292.29*1.21</f>
        <v>353.67090000000002</v>
      </c>
      <c r="E43" s="14">
        <v>43958</v>
      </c>
      <c r="F43" s="11">
        <v>44196</v>
      </c>
      <c r="G43" s="12" t="s">
        <v>370</v>
      </c>
      <c r="H43" s="12" t="s">
        <v>295</v>
      </c>
      <c r="I43" s="8" t="s">
        <v>13</v>
      </c>
    </row>
    <row r="44" spans="1:9" ht="25.5">
      <c r="A44" s="12" t="s">
        <v>125</v>
      </c>
      <c r="B44" s="8">
        <v>2020</v>
      </c>
      <c r="C44" s="12" t="s">
        <v>211</v>
      </c>
      <c r="D44" s="9">
        <f>495.86*1.21</f>
        <v>599.99059999999997</v>
      </c>
      <c r="E44" s="14">
        <v>44002</v>
      </c>
      <c r="F44" s="11">
        <v>44196</v>
      </c>
      <c r="G44" s="12" t="s">
        <v>371</v>
      </c>
      <c r="H44" s="12" t="s">
        <v>296</v>
      </c>
      <c r="I44" s="8" t="s">
        <v>13</v>
      </c>
    </row>
    <row r="45" spans="1:9">
      <c r="A45" s="12" t="s">
        <v>126</v>
      </c>
      <c r="B45" s="8">
        <v>2020</v>
      </c>
      <c r="C45" s="12" t="s">
        <v>434</v>
      </c>
      <c r="D45" s="9">
        <f>420*1.21</f>
        <v>508.2</v>
      </c>
      <c r="E45" s="14">
        <v>43955</v>
      </c>
      <c r="F45" s="11">
        <f>E45+60</f>
        <v>44015</v>
      </c>
      <c r="G45" s="12" t="s">
        <v>372</v>
      </c>
      <c r="H45" s="12" t="s">
        <v>297</v>
      </c>
      <c r="I45" s="8" t="s">
        <v>13</v>
      </c>
    </row>
    <row r="46" spans="1:9">
      <c r="A46" s="12" t="s">
        <v>127</v>
      </c>
      <c r="B46" s="8">
        <v>2020</v>
      </c>
      <c r="C46" s="12" t="s">
        <v>212</v>
      </c>
      <c r="D46" s="9">
        <f>733.5*1.21</f>
        <v>887.53499999999997</v>
      </c>
      <c r="E46" s="14">
        <v>43936</v>
      </c>
      <c r="F46" s="11">
        <v>44196</v>
      </c>
      <c r="G46" s="12" t="s">
        <v>373</v>
      </c>
      <c r="H46" s="12" t="s">
        <v>298</v>
      </c>
      <c r="I46" s="8" t="s">
        <v>13</v>
      </c>
    </row>
    <row r="47" spans="1:9" ht="25.5">
      <c r="A47" s="12" t="s">
        <v>128</v>
      </c>
      <c r="B47" s="8">
        <v>2020</v>
      </c>
      <c r="C47" s="12" t="s">
        <v>213</v>
      </c>
      <c r="D47" s="9">
        <f>6207*1.21</f>
        <v>7510.4699999999993</v>
      </c>
      <c r="E47" s="14">
        <v>43997</v>
      </c>
      <c r="F47" s="11">
        <v>44196</v>
      </c>
      <c r="G47" s="12" t="s">
        <v>374</v>
      </c>
      <c r="H47" s="12" t="s">
        <v>299</v>
      </c>
      <c r="I47" s="8" t="s">
        <v>13</v>
      </c>
    </row>
    <row r="48" spans="1:9" ht="25.5">
      <c r="A48" s="12" t="s">
        <v>129</v>
      </c>
      <c r="B48" s="8">
        <v>2020</v>
      </c>
      <c r="C48" s="12" t="s">
        <v>214</v>
      </c>
      <c r="D48" s="9">
        <v>830</v>
      </c>
      <c r="E48" s="14">
        <v>43955</v>
      </c>
      <c r="F48" s="11">
        <f>E48+60</f>
        <v>44015</v>
      </c>
      <c r="G48" s="12" t="s">
        <v>375</v>
      </c>
      <c r="H48" s="12" t="s">
        <v>300</v>
      </c>
      <c r="I48" s="8" t="s">
        <v>13</v>
      </c>
    </row>
    <row r="49" spans="1:9">
      <c r="A49" s="12" t="s">
        <v>130</v>
      </c>
      <c r="B49" s="8">
        <v>2020</v>
      </c>
      <c r="C49" s="12" t="s">
        <v>215</v>
      </c>
      <c r="D49" s="9">
        <f>6105.04*1.21</f>
        <v>7387.0983999999999</v>
      </c>
      <c r="E49" s="14">
        <v>43976</v>
      </c>
      <c r="F49" s="11">
        <f>E49+60</f>
        <v>44036</v>
      </c>
      <c r="G49" s="12" t="s">
        <v>376</v>
      </c>
      <c r="H49" s="12" t="s">
        <v>301</v>
      </c>
      <c r="I49" s="8" t="s">
        <v>13</v>
      </c>
    </row>
    <row r="50" spans="1:9">
      <c r="A50" s="12" t="s">
        <v>131</v>
      </c>
      <c r="B50" s="8">
        <v>2020</v>
      </c>
      <c r="C50" s="12" t="s">
        <v>216</v>
      </c>
      <c r="D50" s="9">
        <f>6448*1.21</f>
        <v>7802.08</v>
      </c>
      <c r="E50" s="14">
        <v>43978</v>
      </c>
      <c r="F50" s="11">
        <f>E50+120</f>
        <v>44098</v>
      </c>
      <c r="G50" s="12" t="s">
        <v>377</v>
      </c>
      <c r="H50" s="12" t="s">
        <v>302</v>
      </c>
      <c r="I50" s="8" t="s">
        <v>13</v>
      </c>
    </row>
    <row r="51" spans="1:9" ht="25.5">
      <c r="A51" s="12" t="s">
        <v>132</v>
      </c>
      <c r="B51" s="8">
        <v>2020</v>
      </c>
      <c r="C51" s="12" t="s">
        <v>217</v>
      </c>
      <c r="D51" s="9">
        <f>880*1.21</f>
        <v>1064.8</v>
      </c>
      <c r="E51" s="14">
        <v>43970</v>
      </c>
      <c r="F51" s="11">
        <f>E51+30</f>
        <v>44000</v>
      </c>
      <c r="G51" s="12" t="s">
        <v>369</v>
      </c>
      <c r="H51" s="12" t="s">
        <v>294</v>
      </c>
      <c r="I51" s="8" t="s">
        <v>13</v>
      </c>
    </row>
    <row r="52" spans="1:9">
      <c r="A52" s="12" t="s">
        <v>133</v>
      </c>
      <c r="B52" s="8">
        <v>2020</v>
      </c>
      <c r="C52" s="12" t="s">
        <v>218</v>
      </c>
      <c r="D52" s="9">
        <f>184.56*1.21</f>
        <v>223.3176</v>
      </c>
      <c r="E52" s="14">
        <v>43958</v>
      </c>
      <c r="F52" s="11">
        <f>E52+30</f>
        <v>43988</v>
      </c>
      <c r="G52" s="12" t="s">
        <v>378</v>
      </c>
      <c r="H52" s="12" t="s">
        <v>303</v>
      </c>
      <c r="I52" s="8" t="s">
        <v>13</v>
      </c>
    </row>
    <row r="53" spans="1:9">
      <c r="A53" s="12" t="s">
        <v>134</v>
      </c>
      <c r="B53" s="8">
        <v>2020</v>
      </c>
      <c r="C53" s="12" t="s">
        <v>219</v>
      </c>
      <c r="D53" s="9">
        <f>115.66*1.21</f>
        <v>139.9486</v>
      </c>
      <c r="E53" s="14">
        <v>43998</v>
      </c>
      <c r="F53" s="11">
        <v>43998</v>
      </c>
      <c r="G53" s="12" t="s">
        <v>67</v>
      </c>
      <c r="H53" s="12" t="s">
        <v>66</v>
      </c>
      <c r="I53" s="8" t="s">
        <v>13</v>
      </c>
    </row>
    <row r="54" spans="1:9">
      <c r="A54" s="12" t="s">
        <v>135</v>
      </c>
      <c r="B54" s="8">
        <v>2020</v>
      </c>
      <c r="C54" s="12" t="s">
        <v>220</v>
      </c>
      <c r="D54" s="9">
        <f>3946.6*1.21</f>
        <v>4775.3859999999995</v>
      </c>
      <c r="E54" s="14">
        <v>43966</v>
      </c>
      <c r="F54" s="11">
        <f>E54+30</f>
        <v>43996</v>
      </c>
      <c r="G54" s="12" t="s">
        <v>377</v>
      </c>
      <c r="H54" s="12" t="s">
        <v>304</v>
      </c>
      <c r="I54" s="8" t="s">
        <v>13</v>
      </c>
    </row>
    <row r="55" spans="1:9">
      <c r="A55" s="12" t="s">
        <v>136</v>
      </c>
      <c r="B55" s="8">
        <v>2020</v>
      </c>
      <c r="C55" s="12" t="s">
        <v>221</v>
      </c>
      <c r="D55" s="9">
        <f>5790*1.21</f>
        <v>7005.9</v>
      </c>
      <c r="E55" s="14">
        <v>43985</v>
      </c>
      <c r="F55" s="11">
        <v>44196</v>
      </c>
      <c r="G55" s="12" t="s">
        <v>379</v>
      </c>
      <c r="H55" s="12" t="s">
        <v>305</v>
      </c>
      <c r="I55" s="8" t="s">
        <v>13</v>
      </c>
    </row>
    <row r="56" spans="1:9">
      <c r="A56" s="12" t="s">
        <v>137</v>
      </c>
      <c r="B56" s="8">
        <v>2020</v>
      </c>
      <c r="C56" s="12" t="s">
        <v>222</v>
      </c>
      <c r="D56" s="9">
        <f>29.75*1.21</f>
        <v>35.997500000000002</v>
      </c>
      <c r="E56" s="14">
        <v>43971</v>
      </c>
      <c r="F56" s="11">
        <f>E56+7</f>
        <v>43978</v>
      </c>
      <c r="G56" s="12" t="s">
        <v>380</v>
      </c>
      <c r="H56" s="12" t="s">
        <v>306</v>
      </c>
      <c r="I56" s="8" t="s">
        <v>13</v>
      </c>
    </row>
    <row r="57" spans="1:9" ht="25.5">
      <c r="A57" s="12" t="s">
        <v>138</v>
      </c>
      <c r="B57" s="8">
        <v>2020</v>
      </c>
      <c r="C57" s="12" t="s">
        <v>223</v>
      </c>
      <c r="D57" s="9">
        <f>50*1.21</f>
        <v>60.5</v>
      </c>
      <c r="E57" s="14">
        <v>43980</v>
      </c>
      <c r="F57" s="11">
        <f>E57+7</f>
        <v>43987</v>
      </c>
      <c r="G57" s="12" t="s">
        <v>381</v>
      </c>
      <c r="H57" s="12" t="s">
        <v>307</v>
      </c>
      <c r="I57" s="8" t="s">
        <v>13</v>
      </c>
    </row>
    <row r="58" spans="1:9">
      <c r="A58" s="12" t="s">
        <v>139</v>
      </c>
      <c r="B58" s="8">
        <v>2020</v>
      </c>
      <c r="C58" s="12" t="s">
        <v>224</v>
      </c>
      <c r="D58" s="9">
        <f>5569*1.21</f>
        <v>6738.49</v>
      </c>
      <c r="E58" s="14">
        <v>43964</v>
      </c>
      <c r="F58" s="11">
        <f>E58+30</f>
        <v>43994</v>
      </c>
      <c r="G58" s="12" t="s">
        <v>382</v>
      </c>
      <c r="H58" s="12" t="s">
        <v>308</v>
      </c>
      <c r="I58" s="8" t="s">
        <v>13</v>
      </c>
    </row>
    <row r="59" spans="1:9">
      <c r="A59" s="12" t="s">
        <v>140</v>
      </c>
      <c r="B59" s="8">
        <v>2020</v>
      </c>
      <c r="C59" s="12" t="s">
        <v>225</v>
      </c>
      <c r="D59" s="9">
        <f>5785.12*1.21</f>
        <v>6999.9951999999994</v>
      </c>
      <c r="E59" s="14">
        <v>44114</v>
      </c>
      <c r="F59" s="11">
        <v>44196</v>
      </c>
      <c r="G59" s="12" t="s">
        <v>383</v>
      </c>
      <c r="H59" s="12" t="s">
        <v>309</v>
      </c>
      <c r="I59" s="8" t="s">
        <v>13</v>
      </c>
    </row>
    <row r="60" spans="1:9">
      <c r="A60" s="12" t="s">
        <v>141</v>
      </c>
      <c r="B60" s="8">
        <v>2020</v>
      </c>
      <c r="C60" s="12" t="s">
        <v>226</v>
      </c>
      <c r="D60" s="9">
        <f>3305.78*1.21</f>
        <v>3999.9938000000002</v>
      </c>
      <c r="E60" s="14">
        <v>44111</v>
      </c>
      <c r="F60" s="11">
        <v>44408</v>
      </c>
      <c r="G60" s="12" t="s">
        <v>384</v>
      </c>
      <c r="H60" s="12" t="s">
        <v>310</v>
      </c>
      <c r="I60" s="8" t="s">
        <v>13</v>
      </c>
    </row>
    <row r="61" spans="1:9" ht="25.5">
      <c r="A61" s="12" t="s">
        <v>142</v>
      </c>
      <c r="B61" s="8">
        <v>2020</v>
      </c>
      <c r="C61" s="12" t="s">
        <v>227</v>
      </c>
      <c r="D61" s="9">
        <f>7043*1.21</f>
        <v>8522.0300000000007</v>
      </c>
      <c r="E61" s="14">
        <v>43977</v>
      </c>
      <c r="F61" s="11">
        <f>E61+30</f>
        <v>44007</v>
      </c>
      <c r="G61" s="12" t="s">
        <v>385</v>
      </c>
      <c r="H61" s="12" t="s">
        <v>311</v>
      </c>
      <c r="I61" s="8" t="s">
        <v>13</v>
      </c>
    </row>
    <row r="62" spans="1:9">
      <c r="A62" s="12" t="s">
        <v>143</v>
      </c>
      <c r="B62" s="8">
        <v>2020</v>
      </c>
      <c r="C62" s="12" t="s">
        <v>228</v>
      </c>
      <c r="D62" s="9">
        <f>506.15*1.21</f>
        <v>612.44149999999991</v>
      </c>
      <c r="E62" s="14">
        <v>43985</v>
      </c>
      <c r="F62" s="11">
        <v>44196</v>
      </c>
      <c r="G62" s="12" t="s">
        <v>80</v>
      </c>
      <c r="H62" s="12" t="s">
        <v>312</v>
      </c>
      <c r="I62" s="8" t="s">
        <v>13</v>
      </c>
    </row>
    <row r="63" spans="1:9">
      <c r="A63" s="12" t="s">
        <v>144</v>
      </c>
      <c r="B63" s="8">
        <v>2020</v>
      </c>
      <c r="C63" s="12" t="s">
        <v>229</v>
      </c>
      <c r="D63" s="9">
        <f>311.77*1.21</f>
        <v>377.24169999999998</v>
      </c>
      <c r="E63" s="14">
        <v>43985</v>
      </c>
      <c r="F63" s="11">
        <v>44196</v>
      </c>
      <c r="G63" s="12" t="s">
        <v>386</v>
      </c>
      <c r="H63" s="12" t="s">
        <v>313</v>
      </c>
      <c r="I63" s="8" t="s">
        <v>13</v>
      </c>
    </row>
    <row r="64" spans="1:9" ht="25.5">
      <c r="A64" s="12" t="s">
        <v>145</v>
      </c>
      <c r="B64" s="8">
        <v>2020</v>
      </c>
      <c r="C64" s="12" t="s">
        <v>230</v>
      </c>
      <c r="D64" s="9">
        <f>1140*1.21</f>
        <v>1379.3999999999999</v>
      </c>
      <c r="E64" s="14">
        <v>43991</v>
      </c>
      <c r="F64" s="11">
        <f>E64+30</f>
        <v>44021</v>
      </c>
      <c r="G64" s="12" t="s">
        <v>387</v>
      </c>
      <c r="H64" s="12" t="s">
        <v>314</v>
      </c>
      <c r="I64" s="8" t="s">
        <v>13</v>
      </c>
    </row>
    <row r="65" spans="1:9">
      <c r="A65" s="12" t="s">
        <v>146</v>
      </c>
      <c r="B65" s="8">
        <v>2020</v>
      </c>
      <c r="C65" s="12" t="s">
        <v>231</v>
      </c>
      <c r="D65" s="9">
        <f>7963*1.21</f>
        <v>9635.23</v>
      </c>
      <c r="E65" s="14">
        <v>43979</v>
      </c>
      <c r="F65" s="11">
        <f>E65+30</f>
        <v>44009</v>
      </c>
      <c r="G65" s="12" t="s">
        <v>388</v>
      </c>
      <c r="H65" s="12" t="s">
        <v>315</v>
      </c>
      <c r="I65" s="8" t="s">
        <v>13</v>
      </c>
    </row>
    <row r="66" spans="1:9" ht="25.5">
      <c r="A66" s="12" t="s">
        <v>147</v>
      </c>
      <c r="B66" s="8">
        <v>2020</v>
      </c>
      <c r="C66" s="12" t="s">
        <v>232</v>
      </c>
      <c r="D66" s="9">
        <f>600*1.21</f>
        <v>726</v>
      </c>
      <c r="E66" s="14">
        <v>43964</v>
      </c>
      <c r="F66" s="11">
        <f>E66+60</f>
        <v>44024</v>
      </c>
      <c r="G66" s="12" t="s">
        <v>389</v>
      </c>
      <c r="H66" s="12" t="s">
        <v>316</v>
      </c>
      <c r="I66" s="8" t="s">
        <v>13</v>
      </c>
    </row>
    <row r="67" spans="1:9" ht="25.5">
      <c r="A67" s="12" t="s">
        <v>148</v>
      </c>
      <c r="B67" s="8">
        <v>2020</v>
      </c>
      <c r="C67" s="12" t="s">
        <v>233</v>
      </c>
      <c r="D67" s="9">
        <f>5909.64*1.21</f>
        <v>7150.6644000000006</v>
      </c>
      <c r="E67" s="14">
        <v>44004</v>
      </c>
      <c r="F67" s="11">
        <f>E67+30</f>
        <v>44034</v>
      </c>
      <c r="G67" s="12" t="s">
        <v>390</v>
      </c>
      <c r="H67" s="12" t="s">
        <v>317</v>
      </c>
      <c r="I67" s="8" t="s">
        <v>13</v>
      </c>
    </row>
    <row r="68" spans="1:9" ht="25.5">
      <c r="A68" s="12" t="s">
        <v>149</v>
      </c>
      <c r="B68" s="8">
        <v>2020</v>
      </c>
      <c r="C68" s="12" t="s">
        <v>234</v>
      </c>
      <c r="D68" s="9">
        <f>2162*1.21</f>
        <v>2616.02</v>
      </c>
      <c r="E68" s="14">
        <v>43969</v>
      </c>
      <c r="F68" s="11">
        <f>E68+180</f>
        <v>44149</v>
      </c>
      <c r="G68" s="12" t="s">
        <v>391</v>
      </c>
      <c r="H68" s="12" t="s">
        <v>318</v>
      </c>
      <c r="I68" s="8" t="s">
        <v>13</v>
      </c>
    </row>
    <row r="69" spans="1:9" ht="25.5">
      <c r="A69" s="12" t="s">
        <v>150</v>
      </c>
      <c r="B69" s="8">
        <v>2020</v>
      </c>
      <c r="C69" s="12" t="s">
        <v>235</v>
      </c>
      <c r="D69" s="9">
        <f>1716*1.21</f>
        <v>2076.36</v>
      </c>
      <c r="E69" s="14">
        <v>44181</v>
      </c>
      <c r="F69" s="11">
        <v>44196</v>
      </c>
      <c r="G69" s="12" t="s">
        <v>392</v>
      </c>
      <c r="H69" s="12" t="s">
        <v>319</v>
      </c>
      <c r="I69" s="8" t="s">
        <v>13</v>
      </c>
    </row>
    <row r="70" spans="1:9">
      <c r="A70" s="12" t="s">
        <v>151</v>
      </c>
      <c r="B70" s="8">
        <v>2020</v>
      </c>
      <c r="C70" s="12" t="s">
        <v>236</v>
      </c>
      <c r="D70" s="9">
        <f>1525.01*1.21</f>
        <v>1845.2620999999999</v>
      </c>
      <c r="E70" s="14">
        <v>43957</v>
      </c>
      <c r="F70" s="11">
        <f>E70+30</f>
        <v>43987</v>
      </c>
      <c r="G70" s="12" t="s">
        <v>393</v>
      </c>
      <c r="H70" s="12" t="s">
        <v>320</v>
      </c>
      <c r="I70" s="8" t="s">
        <v>13</v>
      </c>
    </row>
    <row r="71" spans="1:9" ht="25.5">
      <c r="A71" s="12" t="s">
        <v>152</v>
      </c>
      <c r="B71" s="8">
        <v>2020</v>
      </c>
      <c r="C71" s="12" t="s">
        <v>237</v>
      </c>
      <c r="D71" s="9">
        <f>600*1.21</f>
        <v>726</v>
      </c>
      <c r="E71" s="14">
        <v>43959</v>
      </c>
      <c r="F71" s="11">
        <f>E71+30</f>
        <v>43989</v>
      </c>
      <c r="G71" s="12" t="s">
        <v>394</v>
      </c>
      <c r="H71" s="12" t="s">
        <v>321</v>
      </c>
      <c r="I71" s="8" t="s">
        <v>13</v>
      </c>
    </row>
    <row r="72" spans="1:9">
      <c r="A72" s="12" t="s">
        <v>153</v>
      </c>
      <c r="B72" s="8">
        <v>2020</v>
      </c>
      <c r="C72" s="12" t="s">
        <v>238</v>
      </c>
      <c r="D72" s="9">
        <f>2452.06*1.21</f>
        <v>2966.9926</v>
      </c>
      <c r="E72" s="14">
        <v>43966</v>
      </c>
      <c r="F72" s="11">
        <v>44196</v>
      </c>
      <c r="G72" s="12" t="s">
        <v>395</v>
      </c>
      <c r="H72" s="12" t="s">
        <v>322</v>
      </c>
      <c r="I72" s="8" t="s">
        <v>13</v>
      </c>
    </row>
    <row r="73" spans="1:9">
      <c r="A73" s="12" t="s">
        <v>154</v>
      </c>
      <c r="B73" s="8">
        <v>2020</v>
      </c>
      <c r="C73" s="12" t="s">
        <v>239</v>
      </c>
      <c r="D73" s="9">
        <f>1793.59*1.21</f>
        <v>2170.2438999999999</v>
      </c>
      <c r="E73" s="14">
        <v>43969</v>
      </c>
      <c r="F73" s="11">
        <v>44196</v>
      </c>
      <c r="G73" s="12" t="s">
        <v>396</v>
      </c>
      <c r="H73" s="12" t="s">
        <v>323</v>
      </c>
      <c r="I73" s="8" t="s">
        <v>13</v>
      </c>
    </row>
    <row r="74" spans="1:9">
      <c r="A74" s="12" t="s">
        <v>155</v>
      </c>
      <c r="B74" s="8">
        <v>2020</v>
      </c>
      <c r="C74" s="12" t="s">
        <v>240</v>
      </c>
      <c r="D74" s="9">
        <f>1035*1.21</f>
        <v>1252.3499999999999</v>
      </c>
      <c r="E74" s="14">
        <v>43977</v>
      </c>
      <c r="F74" s="11">
        <f>E74+60</f>
        <v>44037</v>
      </c>
      <c r="G74" s="12" t="s">
        <v>397</v>
      </c>
      <c r="H74" s="12" t="s">
        <v>324</v>
      </c>
      <c r="I74" s="8" t="s">
        <v>13</v>
      </c>
    </row>
    <row r="75" spans="1:9">
      <c r="A75" s="12" t="s">
        <v>156</v>
      </c>
      <c r="B75" s="8">
        <v>2020</v>
      </c>
      <c r="C75" s="12" t="s">
        <v>241</v>
      </c>
      <c r="D75" s="9">
        <f>1429.8*1.21</f>
        <v>1730.058</v>
      </c>
      <c r="E75" s="14">
        <v>43970</v>
      </c>
      <c r="F75" s="11">
        <v>44196</v>
      </c>
      <c r="G75" s="12" t="s">
        <v>398</v>
      </c>
      <c r="H75" s="12" t="s">
        <v>325</v>
      </c>
      <c r="I75" s="8" t="s">
        <v>13</v>
      </c>
    </row>
    <row r="76" spans="1:9">
      <c r="A76" s="12" t="s">
        <v>157</v>
      </c>
      <c r="B76" s="8">
        <v>2020</v>
      </c>
      <c r="C76" s="12" t="s">
        <v>242</v>
      </c>
      <c r="D76" s="9">
        <f>1432*1.21</f>
        <v>1732.72</v>
      </c>
      <c r="E76" s="14">
        <v>43965</v>
      </c>
      <c r="F76" s="11">
        <f>E76+15</f>
        <v>43980</v>
      </c>
      <c r="G76" s="12" t="s">
        <v>369</v>
      </c>
      <c r="H76" s="12" t="s">
        <v>294</v>
      </c>
      <c r="I76" s="8" t="s">
        <v>13</v>
      </c>
    </row>
    <row r="77" spans="1:9" ht="25.5">
      <c r="A77" s="12" t="s">
        <v>158</v>
      </c>
      <c r="B77" s="8">
        <v>2020</v>
      </c>
      <c r="C77" s="12" t="s">
        <v>243</v>
      </c>
      <c r="D77" s="9">
        <f>750*1.21</f>
        <v>907.5</v>
      </c>
      <c r="E77" s="14">
        <v>43991</v>
      </c>
      <c r="F77" s="11">
        <v>44196</v>
      </c>
      <c r="G77" s="12" t="s">
        <v>399</v>
      </c>
      <c r="H77" s="12" t="s">
        <v>326</v>
      </c>
      <c r="I77" s="8" t="s">
        <v>13</v>
      </c>
    </row>
    <row r="78" spans="1:9">
      <c r="A78" s="12" t="s">
        <v>159</v>
      </c>
      <c r="B78" s="8">
        <v>2020</v>
      </c>
      <c r="C78" s="12" t="s">
        <v>244</v>
      </c>
      <c r="D78" s="9">
        <f>1250*1.21</f>
        <v>1512.5</v>
      </c>
      <c r="E78" s="14">
        <v>43972</v>
      </c>
      <c r="F78" s="11">
        <f>E78+30</f>
        <v>44002</v>
      </c>
      <c r="G78" s="12" t="s">
        <v>400</v>
      </c>
      <c r="H78" s="12" t="s">
        <v>327</v>
      </c>
      <c r="I78" s="8" t="s">
        <v>13</v>
      </c>
    </row>
    <row r="79" spans="1:9">
      <c r="A79" s="12" t="s">
        <v>160</v>
      </c>
      <c r="B79" s="8">
        <v>2020</v>
      </c>
      <c r="C79" s="12" t="s">
        <v>245</v>
      </c>
      <c r="D79" s="9">
        <f>1681.67*1.21</f>
        <v>2034.8207</v>
      </c>
      <c r="E79" s="14">
        <v>43957</v>
      </c>
      <c r="F79" s="11">
        <v>44043</v>
      </c>
      <c r="G79" s="12" t="s">
        <v>401</v>
      </c>
      <c r="H79" s="12" t="s">
        <v>328</v>
      </c>
      <c r="I79" s="8" t="s">
        <v>13</v>
      </c>
    </row>
    <row r="80" spans="1:9">
      <c r="A80" s="12" t="s">
        <v>160</v>
      </c>
      <c r="B80" s="8">
        <v>2020</v>
      </c>
      <c r="C80" s="12" t="s">
        <v>245</v>
      </c>
      <c r="D80" s="9">
        <f>1681.67*1.21</f>
        <v>2034.8207</v>
      </c>
      <c r="E80" s="14">
        <v>43977</v>
      </c>
      <c r="F80" s="11">
        <v>44043</v>
      </c>
      <c r="G80" s="12" t="s">
        <v>402</v>
      </c>
      <c r="H80" s="12" t="s">
        <v>324</v>
      </c>
      <c r="I80" s="8" t="s">
        <v>13</v>
      </c>
    </row>
    <row r="81" spans="1:9">
      <c r="A81" s="12" t="s">
        <v>161</v>
      </c>
      <c r="B81" s="8">
        <v>2020</v>
      </c>
      <c r="C81" s="12" t="s">
        <v>246</v>
      </c>
      <c r="D81" s="9">
        <f>1075*1.21</f>
        <v>1300.75</v>
      </c>
      <c r="E81" s="14">
        <v>44000</v>
      </c>
      <c r="F81" s="11">
        <v>44196</v>
      </c>
      <c r="G81" s="12" t="s">
        <v>403</v>
      </c>
      <c r="H81" s="12" t="s">
        <v>329</v>
      </c>
      <c r="I81" s="8" t="s">
        <v>13</v>
      </c>
    </row>
    <row r="82" spans="1:9">
      <c r="A82" s="12" t="s">
        <v>162</v>
      </c>
      <c r="B82" s="8">
        <v>2020</v>
      </c>
      <c r="C82" s="12" t="s">
        <v>247</v>
      </c>
      <c r="D82" s="9">
        <f>466.96*1.21</f>
        <v>565.02159999999992</v>
      </c>
      <c r="E82" s="14">
        <v>43964</v>
      </c>
      <c r="F82" s="11">
        <f>E82+15</f>
        <v>43979</v>
      </c>
      <c r="G82" s="12" t="s">
        <v>404</v>
      </c>
      <c r="H82" s="12" t="s">
        <v>330</v>
      </c>
      <c r="I82" s="8" t="s">
        <v>13</v>
      </c>
    </row>
    <row r="83" spans="1:9" ht="25.5">
      <c r="A83" s="12" t="s">
        <v>163</v>
      </c>
      <c r="B83" s="8">
        <v>2020</v>
      </c>
      <c r="C83" s="12" t="s">
        <v>248</v>
      </c>
      <c r="D83" s="9">
        <f>632.39*1.21</f>
        <v>765.19189999999992</v>
      </c>
      <c r="E83" s="14">
        <v>43987</v>
      </c>
      <c r="F83" s="11">
        <v>44196</v>
      </c>
      <c r="G83" s="12" t="s">
        <v>405</v>
      </c>
      <c r="H83" s="12" t="s">
        <v>331</v>
      </c>
      <c r="I83" s="8" t="s">
        <v>13</v>
      </c>
    </row>
    <row r="84" spans="1:9">
      <c r="A84" s="12" t="s">
        <v>164</v>
      </c>
      <c r="B84" s="8">
        <v>2020</v>
      </c>
      <c r="C84" s="12" t="s">
        <v>249</v>
      </c>
      <c r="D84" s="9">
        <f>521.89*1.21</f>
        <v>631.48689999999999</v>
      </c>
      <c r="E84" s="14">
        <v>43991</v>
      </c>
      <c r="F84" s="11">
        <f>E84+42</f>
        <v>44033</v>
      </c>
      <c r="G84" s="12" t="s">
        <v>383</v>
      </c>
      <c r="H84" s="12" t="s">
        <v>309</v>
      </c>
      <c r="I84" s="8" t="s">
        <v>13</v>
      </c>
    </row>
    <row r="85" spans="1:9">
      <c r="A85" s="12" t="s">
        <v>165</v>
      </c>
      <c r="B85" s="8">
        <v>2020</v>
      </c>
      <c r="C85" s="12" t="s">
        <v>250</v>
      </c>
      <c r="D85" s="9">
        <f>309*1.21</f>
        <v>373.89</v>
      </c>
      <c r="E85" s="14">
        <v>43997</v>
      </c>
      <c r="F85" s="11">
        <f>E85+42</f>
        <v>44039</v>
      </c>
      <c r="G85" s="12" t="s">
        <v>406</v>
      </c>
      <c r="H85" s="12" t="s">
        <v>332</v>
      </c>
      <c r="I85" s="8" t="s">
        <v>13</v>
      </c>
    </row>
    <row r="86" spans="1:9" ht="25.5">
      <c r="A86" s="12" t="s">
        <v>166</v>
      </c>
      <c r="B86" s="8">
        <v>2020</v>
      </c>
      <c r="C86" s="12" t="s">
        <v>251</v>
      </c>
      <c r="D86" s="9">
        <f>2550*1.21</f>
        <v>3085.5</v>
      </c>
      <c r="E86" s="14">
        <v>43977</v>
      </c>
      <c r="F86" s="11">
        <f>E86+240</f>
        <v>44217</v>
      </c>
      <c r="G86" s="12" t="s">
        <v>407</v>
      </c>
      <c r="H86" s="12" t="s">
        <v>333</v>
      </c>
      <c r="I86" s="8" t="s">
        <v>13</v>
      </c>
    </row>
    <row r="87" spans="1:9" ht="25.5">
      <c r="A87" s="12" t="s">
        <v>167</v>
      </c>
      <c r="B87" s="8">
        <v>2020</v>
      </c>
      <c r="C87" s="12" t="s">
        <v>252</v>
      </c>
      <c r="D87" s="9">
        <f>2750*1.21</f>
        <v>3327.5</v>
      </c>
      <c r="E87" s="14">
        <v>43980</v>
      </c>
      <c r="F87" s="11">
        <f>E87+330</f>
        <v>44310</v>
      </c>
      <c r="G87" s="12" t="s">
        <v>408</v>
      </c>
      <c r="H87" s="12" t="s">
        <v>334</v>
      </c>
      <c r="I87" s="8" t="s">
        <v>13</v>
      </c>
    </row>
    <row r="88" spans="1:9">
      <c r="A88" s="12" t="s">
        <v>168</v>
      </c>
      <c r="B88" s="8">
        <v>2020</v>
      </c>
      <c r="C88" s="12" t="s">
        <v>253</v>
      </c>
      <c r="D88" s="9">
        <f>3000*1.21</f>
        <v>3630</v>
      </c>
      <c r="E88" s="14">
        <v>43980</v>
      </c>
      <c r="F88" s="11">
        <f>E88+30</f>
        <v>44010</v>
      </c>
      <c r="G88" s="12" t="s">
        <v>409</v>
      </c>
      <c r="H88" s="12" t="s">
        <v>335</v>
      </c>
      <c r="I88" s="8" t="s">
        <v>13</v>
      </c>
    </row>
    <row r="89" spans="1:9">
      <c r="A89" s="12" t="s">
        <v>169</v>
      </c>
      <c r="B89" s="8">
        <v>2020</v>
      </c>
      <c r="C89" s="12" t="s">
        <v>254</v>
      </c>
      <c r="D89" s="9">
        <f>300*1.21</f>
        <v>363</v>
      </c>
      <c r="E89" s="14">
        <v>43980</v>
      </c>
      <c r="F89" s="11">
        <v>43973</v>
      </c>
      <c r="G89" s="12" t="s">
        <v>410</v>
      </c>
      <c r="H89" s="12" t="s">
        <v>336</v>
      </c>
      <c r="I89" s="8" t="s">
        <v>13</v>
      </c>
    </row>
    <row r="90" spans="1:9">
      <c r="A90" s="12" t="s">
        <v>170</v>
      </c>
      <c r="B90" s="8">
        <v>2020</v>
      </c>
      <c r="C90" s="12" t="s">
        <v>255</v>
      </c>
      <c r="D90" s="9">
        <f>540*1.21</f>
        <v>653.4</v>
      </c>
      <c r="E90" s="14">
        <v>43980</v>
      </c>
      <c r="F90" s="11">
        <v>43973</v>
      </c>
      <c r="G90" s="12" t="s">
        <v>411</v>
      </c>
      <c r="H90" s="12" t="s">
        <v>337</v>
      </c>
      <c r="I90" s="8" t="s">
        <v>13</v>
      </c>
    </row>
    <row r="91" spans="1:9">
      <c r="A91" s="12" t="s">
        <v>171</v>
      </c>
      <c r="B91" s="8">
        <v>2020</v>
      </c>
      <c r="C91" s="12" t="s">
        <v>256</v>
      </c>
      <c r="D91" s="9">
        <v>200</v>
      </c>
      <c r="E91" s="14">
        <v>43979</v>
      </c>
      <c r="F91" s="11">
        <f>E91+4</f>
        <v>43983</v>
      </c>
      <c r="G91" s="12" t="s">
        <v>412</v>
      </c>
      <c r="H91" s="12" t="s">
        <v>338</v>
      </c>
      <c r="I91" s="8" t="s">
        <v>13</v>
      </c>
    </row>
    <row r="92" spans="1:9">
      <c r="A92" s="12" t="s">
        <v>172</v>
      </c>
      <c r="B92" s="8">
        <v>2020</v>
      </c>
      <c r="C92" s="12" t="s">
        <v>257</v>
      </c>
      <c r="D92" s="9">
        <f>1676.43*1.21</f>
        <v>2028.4802999999999</v>
      </c>
      <c r="E92" s="14">
        <v>44002</v>
      </c>
      <c r="F92" s="11">
        <v>44196</v>
      </c>
      <c r="G92" s="12" t="s">
        <v>377</v>
      </c>
      <c r="H92" s="12" t="s">
        <v>302</v>
      </c>
      <c r="I92" s="8" t="s">
        <v>13</v>
      </c>
    </row>
    <row r="93" spans="1:9">
      <c r="A93" s="12" t="s">
        <v>173</v>
      </c>
      <c r="B93" s="8">
        <v>2020</v>
      </c>
      <c r="C93" s="12" t="s">
        <v>258</v>
      </c>
      <c r="D93" s="9">
        <f>2000*1.21</f>
        <v>2420</v>
      </c>
      <c r="E93" s="14">
        <v>43980</v>
      </c>
      <c r="F93" s="11">
        <v>44012</v>
      </c>
      <c r="G93" s="12" t="s">
        <v>361</v>
      </c>
      <c r="H93" s="12" t="s">
        <v>286</v>
      </c>
      <c r="I93" s="8" t="s">
        <v>13</v>
      </c>
    </row>
    <row r="94" spans="1:9">
      <c r="A94" s="12" t="s">
        <v>174</v>
      </c>
      <c r="B94" s="8">
        <v>2020</v>
      </c>
      <c r="C94" s="12" t="s">
        <v>259</v>
      </c>
      <c r="D94" s="9">
        <f>569.5*1.21</f>
        <v>689.09500000000003</v>
      </c>
      <c r="E94" s="14">
        <v>44159</v>
      </c>
      <c r="F94" s="11">
        <f>E94+30</f>
        <v>44189</v>
      </c>
      <c r="G94" s="12" t="s">
        <v>413</v>
      </c>
      <c r="H94" s="12" t="s">
        <v>339</v>
      </c>
      <c r="I94" s="8" t="s">
        <v>13</v>
      </c>
    </row>
    <row r="95" spans="1:9">
      <c r="A95" s="12" t="s">
        <v>175</v>
      </c>
      <c r="B95" s="8">
        <v>2020</v>
      </c>
      <c r="C95" s="12" t="s">
        <v>260</v>
      </c>
      <c r="D95" s="9">
        <f>358*1.21</f>
        <v>433.18</v>
      </c>
      <c r="E95" s="14">
        <v>43998</v>
      </c>
      <c r="F95" s="11">
        <f>E95+7</f>
        <v>44005</v>
      </c>
      <c r="G95" s="12" t="s">
        <v>414</v>
      </c>
      <c r="H95" s="12" t="s">
        <v>340</v>
      </c>
      <c r="I95" s="8" t="s">
        <v>13</v>
      </c>
    </row>
    <row r="96" spans="1:9">
      <c r="A96" s="12" t="s">
        <v>176</v>
      </c>
      <c r="B96" s="8">
        <v>2020</v>
      </c>
      <c r="C96" s="12" t="s">
        <v>261</v>
      </c>
      <c r="D96" s="9">
        <f>3520*1.21</f>
        <v>4259.2</v>
      </c>
      <c r="E96" s="14">
        <v>44048</v>
      </c>
      <c r="F96" s="11">
        <f>E96+7</f>
        <v>44055</v>
      </c>
      <c r="G96" s="12" t="s">
        <v>415</v>
      </c>
      <c r="H96" s="12" t="s">
        <v>341</v>
      </c>
      <c r="I96" s="8" t="s">
        <v>13</v>
      </c>
    </row>
    <row r="97" spans="1:9">
      <c r="A97" s="12" t="s">
        <v>177</v>
      </c>
      <c r="B97" s="8">
        <v>2020</v>
      </c>
      <c r="C97" s="12" t="s">
        <v>262</v>
      </c>
      <c r="D97" s="9">
        <f>600*1.21</f>
        <v>726</v>
      </c>
      <c r="E97" s="14">
        <v>43978</v>
      </c>
      <c r="F97" s="11">
        <v>43978</v>
      </c>
      <c r="G97" s="12" t="s">
        <v>416</v>
      </c>
      <c r="H97" s="12" t="s">
        <v>342</v>
      </c>
      <c r="I97" s="8" t="s">
        <v>13</v>
      </c>
    </row>
    <row r="98" spans="1:9">
      <c r="A98" s="12" t="s">
        <v>178</v>
      </c>
      <c r="B98" s="8">
        <v>2020</v>
      </c>
      <c r="C98" s="12" t="s">
        <v>263</v>
      </c>
      <c r="D98" s="9">
        <f>1460*1.21</f>
        <v>1766.6</v>
      </c>
      <c r="E98" s="14">
        <v>44007</v>
      </c>
      <c r="F98" s="11">
        <f>E98+75</f>
        <v>44082</v>
      </c>
      <c r="G98" s="12" t="s">
        <v>367</v>
      </c>
      <c r="H98" s="12" t="s">
        <v>292</v>
      </c>
      <c r="I98" s="8" t="s">
        <v>13</v>
      </c>
    </row>
    <row r="99" spans="1:9">
      <c r="A99" s="12" t="s">
        <v>179</v>
      </c>
      <c r="B99" s="8">
        <v>2020</v>
      </c>
      <c r="C99" s="12" t="s">
        <v>264</v>
      </c>
      <c r="D99" s="9">
        <f>550*1.21</f>
        <v>665.5</v>
      </c>
      <c r="E99" s="14">
        <v>43979</v>
      </c>
      <c r="F99" s="11">
        <v>44196</v>
      </c>
      <c r="G99" s="12" t="s">
        <v>417</v>
      </c>
      <c r="H99" s="12" t="s">
        <v>343</v>
      </c>
      <c r="I99" s="8" t="s">
        <v>13</v>
      </c>
    </row>
    <row r="100" spans="1:9" ht="25.5">
      <c r="A100" s="12" t="s">
        <v>180</v>
      </c>
      <c r="B100" s="8">
        <v>2020</v>
      </c>
      <c r="C100" s="12" t="s">
        <v>265</v>
      </c>
      <c r="D100" s="9">
        <f>5435*1.21</f>
        <v>6576.3499999999995</v>
      </c>
      <c r="E100" s="14">
        <v>44026</v>
      </c>
      <c r="F100" s="11">
        <v>44196</v>
      </c>
      <c r="G100" s="12" t="s">
        <v>418</v>
      </c>
      <c r="H100" s="12" t="s">
        <v>344</v>
      </c>
      <c r="I100" s="8" t="s">
        <v>13</v>
      </c>
    </row>
    <row r="101" spans="1:9">
      <c r="A101" s="12" t="s">
        <v>181</v>
      </c>
      <c r="B101" s="8">
        <v>2020</v>
      </c>
      <c r="C101" s="12" t="s">
        <v>266</v>
      </c>
      <c r="D101" s="9">
        <f>6730*1.21</f>
        <v>8143.3</v>
      </c>
      <c r="E101" s="14">
        <v>43985</v>
      </c>
      <c r="F101" s="11">
        <v>43985</v>
      </c>
      <c r="G101" s="12" t="s">
        <v>419</v>
      </c>
      <c r="H101" s="12" t="s">
        <v>345</v>
      </c>
      <c r="I101" s="8" t="s">
        <v>13</v>
      </c>
    </row>
    <row r="102" spans="1:9">
      <c r="A102" s="12" t="s">
        <v>182</v>
      </c>
      <c r="B102" s="8">
        <v>2020</v>
      </c>
      <c r="C102" s="12" t="s">
        <v>267</v>
      </c>
      <c r="D102" s="9">
        <f>1526*1.21</f>
        <v>1846.46</v>
      </c>
      <c r="E102" s="14">
        <v>44011</v>
      </c>
      <c r="F102" s="11">
        <v>44196</v>
      </c>
      <c r="G102" s="12" t="s">
        <v>420</v>
      </c>
      <c r="H102" s="12" t="s">
        <v>346</v>
      </c>
      <c r="I102" s="8" t="s">
        <v>13</v>
      </c>
    </row>
    <row r="103" spans="1:9">
      <c r="A103" s="12" t="s">
        <v>183</v>
      </c>
      <c r="B103" s="8">
        <v>2020</v>
      </c>
      <c r="C103" s="12" t="s">
        <v>268</v>
      </c>
      <c r="D103" s="9">
        <f>4357.23*1.21</f>
        <v>5272.2482999999993</v>
      </c>
      <c r="E103" s="14">
        <v>43991</v>
      </c>
      <c r="F103" s="11">
        <v>44196</v>
      </c>
      <c r="G103" s="12" t="s">
        <v>421</v>
      </c>
      <c r="H103" s="12" t="s">
        <v>347</v>
      </c>
      <c r="I103" s="8" t="s">
        <v>13</v>
      </c>
    </row>
    <row r="104" spans="1:9">
      <c r="A104" s="12" t="s">
        <v>184</v>
      </c>
      <c r="B104" s="8">
        <v>2020</v>
      </c>
      <c r="C104" s="12" t="s">
        <v>269</v>
      </c>
      <c r="D104" s="9">
        <f>3000*1.21</f>
        <v>3630</v>
      </c>
      <c r="E104" s="14">
        <v>43985</v>
      </c>
      <c r="F104" s="11">
        <v>44196</v>
      </c>
      <c r="G104" s="12" t="s">
        <v>422</v>
      </c>
      <c r="H104" s="12" t="s">
        <v>348</v>
      </c>
      <c r="I104" s="8" t="s">
        <v>13</v>
      </c>
    </row>
    <row r="105" spans="1:9">
      <c r="A105" s="12" t="s">
        <v>185</v>
      </c>
      <c r="B105" s="8">
        <v>2020</v>
      </c>
      <c r="C105" s="12" t="s">
        <v>270</v>
      </c>
      <c r="D105" s="9">
        <f>2479.33*1.21</f>
        <v>2999.9892999999997</v>
      </c>
      <c r="E105" s="14">
        <v>43985</v>
      </c>
      <c r="F105" s="11">
        <v>44196</v>
      </c>
      <c r="G105" s="12" t="s">
        <v>423</v>
      </c>
      <c r="H105" s="12" t="s">
        <v>97</v>
      </c>
      <c r="I105" s="8" t="s">
        <v>13</v>
      </c>
    </row>
    <row r="106" spans="1:9" ht="25.5">
      <c r="A106" s="12" t="s">
        <v>186</v>
      </c>
      <c r="B106" s="8">
        <v>2020</v>
      </c>
      <c r="C106" s="12" t="s">
        <v>271</v>
      </c>
      <c r="D106" s="9">
        <f>2892.56*1.21</f>
        <v>3499.9975999999997</v>
      </c>
      <c r="E106" s="14">
        <v>43985</v>
      </c>
      <c r="F106" s="11">
        <v>44196</v>
      </c>
      <c r="G106" s="12" t="s">
        <v>424</v>
      </c>
      <c r="H106" s="12" t="s">
        <v>91</v>
      </c>
      <c r="I106" s="8" t="s">
        <v>13</v>
      </c>
    </row>
    <row r="107" spans="1:9" ht="25.5">
      <c r="A107" s="12" t="s">
        <v>187</v>
      </c>
      <c r="B107" s="8">
        <v>2020</v>
      </c>
      <c r="C107" s="12" t="s">
        <v>272</v>
      </c>
      <c r="D107" s="9">
        <f>3305.78*1.21</f>
        <v>3999.9938000000002</v>
      </c>
      <c r="E107" s="14">
        <v>44008</v>
      </c>
      <c r="F107" s="11">
        <v>44196</v>
      </c>
      <c r="G107" s="12" t="s">
        <v>95</v>
      </c>
      <c r="H107" s="12" t="s">
        <v>94</v>
      </c>
      <c r="I107" s="8" t="s">
        <v>13</v>
      </c>
    </row>
    <row r="108" spans="1:9">
      <c r="A108" s="12" t="s">
        <v>188</v>
      </c>
      <c r="B108" s="8">
        <v>2020</v>
      </c>
      <c r="C108" s="12" t="s">
        <v>273</v>
      </c>
      <c r="D108" s="9">
        <f>922.08*1.21</f>
        <v>1115.7167999999999</v>
      </c>
      <c r="E108" s="14">
        <v>43985</v>
      </c>
      <c r="F108" s="11">
        <v>43985</v>
      </c>
      <c r="G108" s="12" t="s">
        <v>425</v>
      </c>
      <c r="H108" s="12" t="s">
        <v>349</v>
      </c>
      <c r="I108" s="8" t="s">
        <v>13</v>
      </c>
    </row>
    <row r="109" spans="1:9">
      <c r="A109" s="12" t="s">
        <v>189</v>
      </c>
      <c r="B109" s="8">
        <v>2020</v>
      </c>
      <c r="C109" s="12" t="s">
        <v>274</v>
      </c>
      <c r="D109" s="9">
        <f>2453.71*1.21</f>
        <v>2968.9890999999998</v>
      </c>
      <c r="E109" s="14">
        <v>44002</v>
      </c>
      <c r="F109" s="11">
        <v>44196</v>
      </c>
      <c r="G109" s="12" t="s">
        <v>426</v>
      </c>
      <c r="H109" s="12" t="s">
        <v>350</v>
      </c>
      <c r="I109" s="8" t="s">
        <v>13</v>
      </c>
    </row>
    <row r="110" spans="1:9">
      <c r="A110" s="12" t="s">
        <v>190</v>
      </c>
      <c r="B110" s="8">
        <v>2020</v>
      </c>
      <c r="C110" s="12" t="s">
        <v>275</v>
      </c>
      <c r="D110" s="9">
        <f>550*1.21</f>
        <v>665.5</v>
      </c>
      <c r="E110" s="14">
        <v>44021</v>
      </c>
      <c r="F110" s="11">
        <v>44196</v>
      </c>
      <c r="G110" s="12" t="s">
        <v>427</v>
      </c>
      <c r="H110" s="12" t="s">
        <v>351</v>
      </c>
      <c r="I110" s="8" t="s">
        <v>13</v>
      </c>
    </row>
    <row r="111" spans="1:9">
      <c r="A111" s="12" t="s">
        <v>191</v>
      </c>
      <c r="B111" s="8">
        <v>2020</v>
      </c>
      <c r="C111" s="12" t="s">
        <v>276</v>
      </c>
      <c r="D111" s="9">
        <f>189.41*1.21</f>
        <v>229.18609999999998</v>
      </c>
      <c r="E111" s="14">
        <v>43985</v>
      </c>
      <c r="F111" s="11">
        <f>E111+30</f>
        <v>44015</v>
      </c>
      <c r="G111" s="12" t="s">
        <v>428</v>
      </c>
      <c r="H111" s="12" t="s">
        <v>352</v>
      </c>
      <c r="I111" s="8" t="s">
        <v>13</v>
      </c>
    </row>
    <row r="112" spans="1:9" ht="25.5">
      <c r="A112" s="12" t="s">
        <v>192</v>
      </c>
      <c r="B112" s="8">
        <v>2020</v>
      </c>
      <c r="C112" s="12" t="s">
        <v>277</v>
      </c>
      <c r="D112" s="9">
        <f>235*1.21</f>
        <v>284.34999999999997</v>
      </c>
      <c r="E112" s="14">
        <v>43986</v>
      </c>
      <c r="F112" s="11">
        <v>44196</v>
      </c>
      <c r="G112" s="12" t="s">
        <v>429</v>
      </c>
      <c r="H112" s="12" t="s">
        <v>353</v>
      </c>
      <c r="I112" s="8" t="s">
        <v>13</v>
      </c>
    </row>
    <row r="113" spans="1:9">
      <c r="A113" s="12" t="s">
        <v>193</v>
      </c>
      <c r="B113" s="8">
        <v>2020</v>
      </c>
      <c r="C113" s="12" t="s">
        <v>278</v>
      </c>
      <c r="D113" s="9">
        <f>230*1.21</f>
        <v>278.3</v>
      </c>
      <c r="E113" s="14">
        <v>44154</v>
      </c>
      <c r="F113" s="11">
        <v>44196</v>
      </c>
      <c r="G113" s="12" t="s">
        <v>430</v>
      </c>
      <c r="H113" s="12" t="s">
        <v>354</v>
      </c>
      <c r="I113" s="8" t="s">
        <v>13</v>
      </c>
    </row>
    <row r="114" spans="1:9" ht="25.5">
      <c r="A114" s="12" t="s">
        <v>194</v>
      </c>
      <c r="B114" s="8">
        <v>2020</v>
      </c>
      <c r="C114" s="12" t="s">
        <v>279</v>
      </c>
      <c r="D114" s="9">
        <f>1203*1.21</f>
        <v>1455.6299999999999</v>
      </c>
      <c r="E114" s="14">
        <v>43985</v>
      </c>
      <c r="F114" s="11">
        <f>E114+90</f>
        <v>44075</v>
      </c>
      <c r="G114" s="12" t="s">
        <v>431</v>
      </c>
      <c r="H114" s="12" t="s">
        <v>355</v>
      </c>
      <c r="I114" s="8" t="s">
        <v>13</v>
      </c>
    </row>
    <row r="115" spans="1:9" ht="25.5">
      <c r="A115" s="12" t="s">
        <v>195</v>
      </c>
      <c r="B115" s="8">
        <v>2020</v>
      </c>
      <c r="C115" s="12" t="s">
        <v>280</v>
      </c>
      <c r="D115" s="9">
        <v>3000</v>
      </c>
      <c r="E115" s="14">
        <v>44000</v>
      </c>
      <c r="F115" s="11">
        <v>44042</v>
      </c>
      <c r="G115" s="12" t="s">
        <v>478</v>
      </c>
      <c r="H115" s="12" t="s">
        <v>495</v>
      </c>
      <c r="I115" s="8" t="s">
        <v>13</v>
      </c>
    </row>
    <row r="116" spans="1:9">
      <c r="A116" s="12" t="s">
        <v>436</v>
      </c>
      <c r="B116" s="8">
        <v>2020</v>
      </c>
      <c r="C116" s="12" t="s">
        <v>457</v>
      </c>
      <c r="D116" s="9">
        <f>600*1.21</f>
        <v>726</v>
      </c>
      <c r="E116" s="14">
        <v>43991</v>
      </c>
      <c r="F116" s="11">
        <f>E116+20</f>
        <v>44011</v>
      </c>
      <c r="G116" s="12" t="s">
        <v>479</v>
      </c>
      <c r="H116" s="12" t="s">
        <v>496</v>
      </c>
      <c r="I116" s="8" t="s">
        <v>13</v>
      </c>
    </row>
    <row r="117" spans="1:9">
      <c r="A117" s="12" t="s">
        <v>437</v>
      </c>
      <c r="B117" s="8">
        <v>2020</v>
      </c>
      <c r="C117" s="12" t="s">
        <v>458</v>
      </c>
      <c r="D117" s="9">
        <f>1985*1.21</f>
        <v>2401.85</v>
      </c>
      <c r="E117" s="14">
        <v>44004</v>
      </c>
      <c r="F117" s="11">
        <v>44196</v>
      </c>
      <c r="G117" s="12" t="s">
        <v>480</v>
      </c>
      <c r="H117" s="12" t="s">
        <v>497</v>
      </c>
      <c r="I117" s="8" t="s">
        <v>13</v>
      </c>
    </row>
    <row r="118" spans="1:9">
      <c r="A118" s="12" t="s">
        <v>438</v>
      </c>
      <c r="B118" s="8">
        <v>2020</v>
      </c>
      <c r="C118" s="12" t="s">
        <v>459</v>
      </c>
      <c r="D118" s="9">
        <f>2350*1.21</f>
        <v>2843.5</v>
      </c>
      <c r="E118" s="14">
        <v>44011</v>
      </c>
      <c r="F118" s="11">
        <v>44196</v>
      </c>
      <c r="G118" s="12" t="s">
        <v>481</v>
      </c>
      <c r="H118" s="12" t="s">
        <v>498</v>
      </c>
      <c r="I118" s="8" t="s">
        <v>13</v>
      </c>
    </row>
    <row r="119" spans="1:9">
      <c r="A119" s="12" t="s">
        <v>439</v>
      </c>
      <c r="B119" s="8">
        <v>2020</v>
      </c>
      <c r="C119" s="12" t="s">
        <v>460</v>
      </c>
      <c r="D119" s="9">
        <f>560*1.21</f>
        <v>677.6</v>
      </c>
      <c r="E119" s="14">
        <v>44111</v>
      </c>
      <c r="F119" s="11">
        <v>44196</v>
      </c>
      <c r="G119" s="12" t="s">
        <v>482</v>
      </c>
      <c r="H119" s="12" t="s">
        <v>499</v>
      </c>
      <c r="I119" s="8" t="s">
        <v>13</v>
      </c>
    </row>
    <row r="120" spans="1:9" ht="25.5">
      <c r="A120" s="12" t="s">
        <v>440</v>
      </c>
      <c r="B120" s="8">
        <v>2020</v>
      </c>
      <c r="C120" s="12" t="s">
        <v>461</v>
      </c>
      <c r="D120" s="9">
        <f>1239.66*1.21</f>
        <v>1499.9886000000001</v>
      </c>
      <c r="E120" s="14">
        <v>44096</v>
      </c>
      <c r="F120" s="11">
        <v>44196</v>
      </c>
      <c r="G120" s="12" t="s">
        <v>483</v>
      </c>
      <c r="H120" s="12" t="s">
        <v>500</v>
      </c>
      <c r="I120" s="8" t="s">
        <v>13</v>
      </c>
    </row>
    <row r="121" spans="1:9">
      <c r="A121" s="12" t="s">
        <v>441</v>
      </c>
      <c r="B121" s="8">
        <v>2020</v>
      </c>
      <c r="C121" s="12" t="s">
        <v>462</v>
      </c>
      <c r="D121" s="9">
        <f>2600*1.21</f>
        <v>3146</v>
      </c>
      <c r="E121" s="14">
        <v>44015</v>
      </c>
      <c r="F121" s="11">
        <v>44196</v>
      </c>
      <c r="G121" s="12" t="s">
        <v>389</v>
      </c>
      <c r="H121" s="12" t="s">
        <v>316</v>
      </c>
      <c r="I121" s="8" t="s">
        <v>13</v>
      </c>
    </row>
    <row r="122" spans="1:9" ht="38.25">
      <c r="A122" s="12" t="s">
        <v>442</v>
      </c>
      <c r="B122" s="8">
        <v>2020</v>
      </c>
      <c r="C122" s="12" t="s">
        <v>463</v>
      </c>
      <c r="D122" s="9">
        <f>450*1.21</f>
        <v>544.5</v>
      </c>
      <c r="E122" s="14">
        <v>44019</v>
      </c>
      <c r="F122" s="11">
        <v>44196</v>
      </c>
      <c r="G122" s="12" t="s">
        <v>484</v>
      </c>
      <c r="H122" s="12" t="s">
        <v>501</v>
      </c>
      <c r="I122" s="8" t="s">
        <v>13</v>
      </c>
    </row>
    <row r="123" spans="1:9">
      <c r="A123" s="12" t="s">
        <v>443</v>
      </c>
      <c r="B123" s="8">
        <v>2020</v>
      </c>
      <c r="C123" s="12" t="s">
        <v>464</v>
      </c>
      <c r="D123" s="9">
        <f>750*1.21</f>
        <v>907.5</v>
      </c>
      <c r="E123" s="14">
        <v>44006</v>
      </c>
      <c r="F123" s="11">
        <v>44104</v>
      </c>
      <c r="G123" s="12" t="s">
        <v>425</v>
      </c>
      <c r="H123" s="12" t="s">
        <v>349</v>
      </c>
      <c r="I123" s="8" t="s">
        <v>13</v>
      </c>
    </row>
    <row r="124" spans="1:9" ht="25.5">
      <c r="A124" s="12" t="s">
        <v>444</v>
      </c>
      <c r="B124" s="8">
        <v>2020</v>
      </c>
      <c r="C124" s="12" t="s">
        <v>465</v>
      </c>
      <c r="D124" s="9">
        <f>369*1.21</f>
        <v>446.49</v>
      </c>
      <c r="E124" s="14">
        <v>44004</v>
      </c>
      <c r="F124" s="11">
        <v>44004</v>
      </c>
      <c r="G124" s="12" t="s">
        <v>485</v>
      </c>
      <c r="H124" s="12" t="s">
        <v>337</v>
      </c>
      <c r="I124" s="8" t="s">
        <v>13</v>
      </c>
    </row>
    <row r="125" spans="1:9" ht="25.5">
      <c r="A125" s="12" t="s">
        <v>445</v>
      </c>
      <c r="B125" s="8">
        <v>2020</v>
      </c>
      <c r="C125" s="12" t="s">
        <v>466</v>
      </c>
      <c r="D125" s="9">
        <f>337.5*1.21</f>
        <v>408.375</v>
      </c>
      <c r="E125" s="14">
        <v>44075</v>
      </c>
      <c r="F125" s="14">
        <v>44075</v>
      </c>
      <c r="G125" s="12" t="s">
        <v>486</v>
      </c>
      <c r="H125" s="12" t="s">
        <v>502</v>
      </c>
      <c r="I125" s="8" t="s">
        <v>13</v>
      </c>
    </row>
    <row r="126" spans="1:9">
      <c r="A126" s="12" t="s">
        <v>446</v>
      </c>
      <c r="B126" s="8">
        <v>2020</v>
      </c>
      <c r="C126" s="12" t="s">
        <v>467</v>
      </c>
      <c r="D126" s="9">
        <f>1095*1.21</f>
        <v>1324.95</v>
      </c>
      <c r="E126" s="14">
        <v>44130</v>
      </c>
      <c r="F126" s="11">
        <f>E126+30</f>
        <v>44160</v>
      </c>
      <c r="G126" s="12" t="s">
        <v>487</v>
      </c>
      <c r="H126" s="12" t="s">
        <v>503</v>
      </c>
      <c r="I126" s="8" t="s">
        <v>13</v>
      </c>
    </row>
    <row r="127" spans="1:9">
      <c r="A127" s="12" t="s">
        <v>447</v>
      </c>
      <c r="B127" s="8">
        <v>2020</v>
      </c>
      <c r="C127" s="12" t="s">
        <v>468</v>
      </c>
      <c r="D127" s="9">
        <f>2604.95*1.21</f>
        <v>3151.9894999999997</v>
      </c>
      <c r="E127" s="14">
        <v>43998</v>
      </c>
      <c r="F127" s="11">
        <v>44196</v>
      </c>
      <c r="G127" s="12" t="s">
        <v>488</v>
      </c>
      <c r="H127" s="12" t="s">
        <v>504</v>
      </c>
      <c r="I127" s="8" t="s">
        <v>22</v>
      </c>
    </row>
    <row r="128" spans="1:9">
      <c r="A128" s="12" t="s">
        <v>448</v>
      </c>
      <c r="B128" s="8">
        <v>2020</v>
      </c>
      <c r="C128" s="12" t="s">
        <v>469</v>
      </c>
      <c r="D128" s="9">
        <f>410*1.21</f>
        <v>496.09999999999997</v>
      </c>
      <c r="E128" s="14">
        <v>44004</v>
      </c>
      <c r="F128" s="11">
        <v>44196</v>
      </c>
      <c r="G128" s="12" t="s">
        <v>485</v>
      </c>
      <c r="H128" s="12" t="s">
        <v>337</v>
      </c>
      <c r="I128" s="8" t="s">
        <v>13</v>
      </c>
    </row>
    <row r="129" spans="1:9">
      <c r="A129" s="12" t="s">
        <v>449</v>
      </c>
      <c r="B129" s="8">
        <v>2020</v>
      </c>
      <c r="C129" s="12" t="s">
        <v>470</v>
      </c>
      <c r="D129" s="9">
        <f>996*1.21</f>
        <v>1205.1599999999999</v>
      </c>
      <c r="E129" s="14">
        <v>44014</v>
      </c>
      <c r="F129" s="11">
        <f>E129+365</f>
        <v>44379</v>
      </c>
      <c r="G129" s="12" t="s">
        <v>489</v>
      </c>
      <c r="H129" s="12" t="s">
        <v>505</v>
      </c>
      <c r="I129" s="8" t="s">
        <v>22</v>
      </c>
    </row>
    <row r="130" spans="1:9">
      <c r="A130" s="12" t="s">
        <v>450</v>
      </c>
      <c r="B130" s="8">
        <v>2020</v>
      </c>
      <c r="C130" s="12" t="s">
        <v>471</v>
      </c>
      <c r="D130" s="9">
        <f>5721.53*1.21</f>
        <v>6923.0512999999992</v>
      </c>
      <c r="E130" s="14">
        <v>44000</v>
      </c>
      <c r="F130" s="11">
        <v>44022</v>
      </c>
      <c r="G130" s="12" t="s">
        <v>490</v>
      </c>
      <c r="H130" s="12" t="s">
        <v>506</v>
      </c>
      <c r="I130" s="8" t="s">
        <v>13</v>
      </c>
    </row>
    <row r="131" spans="1:9">
      <c r="A131" s="12" t="s">
        <v>451</v>
      </c>
      <c r="B131" s="8">
        <v>2020</v>
      </c>
      <c r="C131" s="12" t="s">
        <v>472</v>
      </c>
      <c r="D131" s="9">
        <f>1500*1.21</f>
        <v>1815</v>
      </c>
      <c r="E131" s="14">
        <v>44014</v>
      </c>
      <c r="F131" s="11">
        <v>44042</v>
      </c>
      <c r="G131" s="12" t="s">
        <v>491</v>
      </c>
      <c r="H131" s="12" t="s">
        <v>507</v>
      </c>
      <c r="I131" s="8" t="s">
        <v>13</v>
      </c>
    </row>
    <row r="132" spans="1:9" ht="25.5">
      <c r="A132" s="12" t="s">
        <v>452</v>
      </c>
      <c r="B132" s="8">
        <v>2020</v>
      </c>
      <c r="C132" s="12" t="s">
        <v>473</v>
      </c>
      <c r="D132" s="9">
        <f>369*1.21</f>
        <v>446.49</v>
      </c>
      <c r="E132" s="14">
        <v>44004</v>
      </c>
      <c r="F132" s="11">
        <v>44004</v>
      </c>
      <c r="G132" s="12" t="s">
        <v>485</v>
      </c>
      <c r="H132" s="12" t="s">
        <v>337</v>
      </c>
      <c r="I132" s="8" t="s">
        <v>13</v>
      </c>
    </row>
    <row r="133" spans="1:9" ht="25.5">
      <c r="A133" s="12" t="s">
        <v>453</v>
      </c>
      <c r="B133" s="8">
        <v>2020</v>
      </c>
      <c r="C133" s="12" t="s">
        <v>474</v>
      </c>
      <c r="D133" s="9">
        <f>337.5*1.21</f>
        <v>408.375</v>
      </c>
      <c r="E133" s="14">
        <v>44075</v>
      </c>
      <c r="F133" s="14">
        <v>44075</v>
      </c>
      <c r="G133" s="12" t="s">
        <v>486</v>
      </c>
      <c r="H133" s="12" t="s">
        <v>502</v>
      </c>
      <c r="I133" s="8" t="s">
        <v>13</v>
      </c>
    </row>
    <row r="134" spans="1:9">
      <c r="A134" s="12" t="s">
        <v>454</v>
      </c>
      <c r="B134" s="8">
        <v>2020</v>
      </c>
      <c r="C134" s="12" t="s">
        <v>475</v>
      </c>
      <c r="D134" s="9">
        <f>350*1.21</f>
        <v>423.5</v>
      </c>
      <c r="E134" s="14">
        <v>44035</v>
      </c>
      <c r="F134" s="11">
        <v>44196</v>
      </c>
      <c r="G134" s="12" t="s">
        <v>492</v>
      </c>
      <c r="H134" s="12" t="s">
        <v>508</v>
      </c>
      <c r="I134" s="8" t="s">
        <v>13</v>
      </c>
    </row>
    <row r="135" spans="1:9" ht="25.5">
      <c r="A135" s="12" t="s">
        <v>455</v>
      </c>
      <c r="B135" s="8">
        <v>2020</v>
      </c>
      <c r="C135" s="12" t="s">
        <v>476</v>
      </c>
      <c r="D135" s="9">
        <f>1814.81*1.21</f>
        <v>2195.9200999999998</v>
      </c>
      <c r="E135" s="14">
        <v>44119</v>
      </c>
      <c r="F135" s="11">
        <f>E135+30</f>
        <v>44149</v>
      </c>
      <c r="G135" s="12" t="s">
        <v>493</v>
      </c>
      <c r="H135" s="12" t="s">
        <v>509</v>
      </c>
      <c r="I135" s="8" t="s">
        <v>13</v>
      </c>
    </row>
    <row r="136" spans="1:9" ht="25.5">
      <c r="A136" s="12" t="s">
        <v>456</v>
      </c>
      <c r="B136" s="8">
        <v>2020</v>
      </c>
      <c r="C136" s="12" t="s">
        <v>477</v>
      </c>
      <c r="D136" s="9">
        <f>3370*1.21</f>
        <v>4077.7</v>
      </c>
      <c r="E136" s="14">
        <v>44027</v>
      </c>
      <c r="F136" s="11">
        <f>E136+30</f>
        <v>44057</v>
      </c>
      <c r="G136" s="12" t="s">
        <v>494</v>
      </c>
      <c r="H136" s="12" t="s">
        <v>510</v>
      </c>
      <c r="I136" s="8" t="s">
        <v>22</v>
      </c>
    </row>
    <row r="137" spans="1:9">
      <c r="A137" s="12" t="s">
        <v>511</v>
      </c>
      <c r="B137" s="8">
        <v>2020</v>
      </c>
      <c r="C137" s="12" t="s">
        <v>517</v>
      </c>
      <c r="D137" s="9">
        <f>172.52*1.21</f>
        <v>208.7492</v>
      </c>
      <c r="E137" s="14">
        <v>44032</v>
      </c>
      <c r="F137" s="11">
        <f>E137+15</f>
        <v>44047</v>
      </c>
      <c r="G137" s="12" t="s">
        <v>398</v>
      </c>
      <c r="H137" s="12" t="s">
        <v>325</v>
      </c>
      <c r="I137" s="8" t="s">
        <v>13</v>
      </c>
    </row>
    <row r="138" spans="1:9">
      <c r="A138" s="12" t="s">
        <v>512</v>
      </c>
      <c r="B138" s="8">
        <v>2020</v>
      </c>
      <c r="C138" s="12" t="s">
        <v>518</v>
      </c>
      <c r="D138" s="9">
        <f>240*1.21</f>
        <v>290.39999999999998</v>
      </c>
      <c r="E138" s="14">
        <v>44061</v>
      </c>
      <c r="F138" s="11">
        <v>44101</v>
      </c>
      <c r="G138" s="12" t="s">
        <v>523</v>
      </c>
      <c r="H138" s="12" t="s">
        <v>527</v>
      </c>
      <c r="I138" s="8" t="s">
        <v>13</v>
      </c>
    </row>
    <row r="139" spans="1:9">
      <c r="A139" s="12" t="s">
        <v>513</v>
      </c>
      <c r="B139" s="8">
        <v>2020</v>
      </c>
      <c r="C139" s="12" t="s">
        <v>519</v>
      </c>
      <c r="D139" s="9">
        <f>464.39*1.21</f>
        <v>561.91189999999995</v>
      </c>
      <c r="E139" s="14">
        <v>44021</v>
      </c>
      <c r="F139" s="11">
        <f>E139+60</f>
        <v>44081</v>
      </c>
      <c r="G139" s="12" t="s">
        <v>425</v>
      </c>
      <c r="H139" s="12" t="s">
        <v>349</v>
      </c>
      <c r="I139" s="8" t="s">
        <v>13</v>
      </c>
    </row>
    <row r="140" spans="1:9">
      <c r="A140" s="12" t="s">
        <v>514</v>
      </c>
      <c r="B140" s="8">
        <v>2020</v>
      </c>
      <c r="C140" s="12" t="s">
        <v>520</v>
      </c>
      <c r="D140" s="9">
        <f>2571*1.21</f>
        <v>3110.91</v>
      </c>
      <c r="E140" s="14">
        <v>44014</v>
      </c>
      <c r="F140" s="11">
        <v>44196</v>
      </c>
      <c r="G140" s="12" t="s">
        <v>524</v>
      </c>
      <c r="H140" s="12" t="s">
        <v>322</v>
      </c>
      <c r="I140" s="8" t="s">
        <v>22</v>
      </c>
    </row>
    <row r="141" spans="1:9" ht="25.5">
      <c r="A141" s="12" t="s">
        <v>515</v>
      </c>
      <c r="B141" s="8">
        <v>2020</v>
      </c>
      <c r="C141" s="12" t="s">
        <v>521</v>
      </c>
      <c r="D141" s="9">
        <f>650*1.21</f>
        <v>786.5</v>
      </c>
      <c r="E141" s="14">
        <v>44012</v>
      </c>
      <c r="F141" s="11">
        <f>E141+30</f>
        <v>44042</v>
      </c>
      <c r="G141" s="12" t="s">
        <v>525</v>
      </c>
      <c r="H141" s="12" t="s">
        <v>528</v>
      </c>
      <c r="I141" s="8" t="s">
        <v>13</v>
      </c>
    </row>
    <row r="142" spans="1:9" ht="25.5">
      <c r="A142" s="12" t="s">
        <v>516</v>
      </c>
      <c r="B142" s="8">
        <v>2020</v>
      </c>
      <c r="C142" s="12" t="s">
        <v>522</v>
      </c>
      <c r="D142" s="9">
        <f>1782*1.21</f>
        <v>2156.2199999999998</v>
      </c>
      <c r="E142" s="14">
        <v>44008</v>
      </c>
      <c r="F142" s="11">
        <v>44114</v>
      </c>
      <c r="G142" s="12" t="s">
        <v>526</v>
      </c>
      <c r="H142" s="12" t="s">
        <v>330</v>
      </c>
      <c r="I142" s="8" t="s">
        <v>13</v>
      </c>
    </row>
    <row r="143" spans="1:9" ht="25.5">
      <c r="A143" s="12" t="s">
        <v>529</v>
      </c>
      <c r="B143" s="8">
        <v>2020</v>
      </c>
      <c r="C143" s="12" t="s">
        <v>539</v>
      </c>
      <c r="D143" s="9">
        <f>1502.5*1.21</f>
        <v>1818.0249999999999</v>
      </c>
      <c r="E143" s="14">
        <v>44013</v>
      </c>
      <c r="F143" s="11">
        <v>44105</v>
      </c>
      <c r="G143" s="12" t="s">
        <v>556</v>
      </c>
      <c r="H143" s="12" t="s">
        <v>549</v>
      </c>
      <c r="I143" s="8" t="s">
        <v>13</v>
      </c>
    </row>
    <row r="144" spans="1:9" ht="25.5">
      <c r="A144" s="12" t="s">
        <v>530</v>
      </c>
      <c r="B144" s="8">
        <v>2020</v>
      </c>
      <c r="C144" s="12" t="s">
        <v>540</v>
      </c>
      <c r="D144" s="9">
        <f>265.7*1.21</f>
        <v>321.49699999999996</v>
      </c>
      <c r="E144" s="14">
        <v>44048</v>
      </c>
      <c r="F144" s="11">
        <v>44074</v>
      </c>
      <c r="G144" s="12" t="s">
        <v>557</v>
      </c>
      <c r="H144" s="12" t="s">
        <v>550</v>
      </c>
      <c r="I144" s="8" t="s">
        <v>13</v>
      </c>
    </row>
    <row r="145" spans="1:9">
      <c r="A145" s="12" t="s">
        <v>531</v>
      </c>
      <c r="B145" s="8">
        <v>2020</v>
      </c>
      <c r="C145" s="12" t="s">
        <v>541</v>
      </c>
      <c r="D145" s="9">
        <v>935</v>
      </c>
      <c r="E145" s="14">
        <v>44048</v>
      </c>
      <c r="F145" s="11">
        <v>44196</v>
      </c>
      <c r="G145" s="12" t="s">
        <v>558</v>
      </c>
      <c r="H145" s="12" t="s">
        <v>551</v>
      </c>
      <c r="I145" s="8" t="s">
        <v>13</v>
      </c>
    </row>
    <row r="146" spans="1:9" ht="25.5">
      <c r="A146" s="12" t="s">
        <v>532</v>
      </c>
      <c r="B146" s="8">
        <v>2020</v>
      </c>
      <c r="C146" s="12" t="s">
        <v>542</v>
      </c>
      <c r="D146" s="9">
        <f>300*1.21</f>
        <v>363</v>
      </c>
      <c r="E146" s="14">
        <v>44039</v>
      </c>
      <c r="F146" s="11">
        <f>E146+21</f>
        <v>44060</v>
      </c>
      <c r="G146" s="12" t="s">
        <v>559</v>
      </c>
      <c r="H146" s="12" t="s">
        <v>552</v>
      </c>
      <c r="I146" s="8" t="s">
        <v>13</v>
      </c>
    </row>
    <row r="147" spans="1:9">
      <c r="A147" s="12" t="s">
        <v>533</v>
      </c>
      <c r="B147" s="8">
        <v>2020</v>
      </c>
      <c r="C147" s="12" t="s">
        <v>543</v>
      </c>
      <c r="D147" s="9">
        <f>1223.14*1.21</f>
        <v>1479.9994000000002</v>
      </c>
      <c r="E147" s="14">
        <v>44047</v>
      </c>
      <c r="F147" s="11">
        <v>44048</v>
      </c>
      <c r="G147" s="12" t="s">
        <v>560</v>
      </c>
      <c r="H147" s="12" t="s">
        <v>553</v>
      </c>
      <c r="I147" s="8" t="s">
        <v>13</v>
      </c>
    </row>
    <row r="148" spans="1:9" ht="25.5">
      <c r="A148" s="12" t="s">
        <v>534</v>
      </c>
      <c r="B148" s="8">
        <v>2020</v>
      </c>
      <c r="C148" s="12" t="s">
        <v>544</v>
      </c>
      <c r="D148" s="9">
        <f>1900*1.21</f>
        <v>2299</v>
      </c>
      <c r="E148" s="14">
        <v>44126</v>
      </c>
      <c r="F148" s="11">
        <v>44196</v>
      </c>
      <c r="G148" s="12" t="s">
        <v>561</v>
      </c>
      <c r="H148" s="12" t="s">
        <v>554</v>
      </c>
      <c r="I148" s="8" t="s">
        <v>13</v>
      </c>
    </row>
    <row r="149" spans="1:9">
      <c r="A149" s="12" t="s">
        <v>535</v>
      </c>
      <c r="B149" s="8">
        <v>2020</v>
      </c>
      <c r="C149" s="12" t="s">
        <v>545</v>
      </c>
      <c r="D149" s="9">
        <f>225*1.21</f>
        <v>272.25</v>
      </c>
      <c r="E149" s="14">
        <v>44015</v>
      </c>
      <c r="F149" s="11">
        <f>E149+7</f>
        <v>44022</v>
      </c>
      <c r="G149" s="12" t="s">
        <v>369</v>
      </c>
      <c r="H149" s="12" t="s">
        <v>294</v>
      </c>
      <c r="I149" s="8" t="s">
        <v>13</v>
      </c>
    </row>
    <row r="150" spans="1:9" ht="25.5">
      <c r="A150" s="12" t="s">
        <v>536</v>
      </c>
      <c r="B150" s="8">
        <v>2020</v>
      </c>
      <c r="C150" s="12" t="s">
        <v>546</v>
      </c>
      <c r="D150" s="9">
        <v>1250</v>
      </c>
      <c r="E150" s="14">
        <v>44048</v>
      </c>
      <c r="F150" s="11">
        <v>44074</v>
      </c>
      <c r="G150" s="12" t="s">
        <v>375</v>
      </c>
      <c r="H150" s="12" t="s">
        <v>300</v>
      </c>
      <c r="I150" s="8" t="s">
        <v>13</v>
      </c>
    </row>
    <row r="151" spans="1:9" ht="25.5">
      <c r="A151" s="12" t="s">
        <v>537</v>
      </c>
      <c r="B151" s="8">
        <v>2020</v>
      </c>
      <c r="C151" s="12" t="s">
        <v>547</v>
      </c>
      <c r="D151" s="9">
        <v>326.39999999999998</v>
      </c>
      <c r="E151" s="14">
        <v>44048</v>
      </c>
      <c r="F151" s="11">
        <v>44196</v>
      </c>
      <c r="G151" s="12" t="s">
        <v>562</v>
      </c>
      <c r="H151" s="12" t="s">
        <v>555</v>
      </c>
      <c r="I151" s="8" t="s">
        <v>13</v>
      </c>
    </row>
    <row r="152" spans="1:9" ht="25.5">
      <c r="A152" s="12" t="s">
        <v>538</v>
      </c>
      <c r="B152" s="8">
        <v>2020</v>
      </c>
      <c r="C152" s="12" t="s">
        <v>548</v>
      </c>
      <c r="D152" s="9">
        <f>675*1.21</f>
        <v>816.75</v>
      </c>
      <c r="E152" s="14">
        <v>44124</v>
      </c>
      <c r="F152" s="11">
        <f>E152+30</f>
        <v>44154</v>
      </c>
      <c r="G152" s="12" t="s">
        <v>563</v>
      </c>
      <c r="H152" s="12" t="s">
        <v>327</v>
      </c>
      <c r="I152" s="8" t="s">
        <v>13</v>
      </c>
    </row>
    <row r="153" spans="1:9" ht="25.5">
      <c r="A153" s="12" t="s">
        <v>564</v>
      </c>
      <c r="B153" s="8">
        <v>2020</v>
      </c>
      <c r="C153" s="12" t="s">
        <v>569</v>
      </c>
      <c r="D153" s="9">
        <v>1000</v>
      </c>
      <c r="E153" s="14">
        <v>44048</v>
      </c>
      <c r="F153" s="11">
        <v>44074</v>
      </c>
      <c r="G153" s="12" t="s">
        <v>375</v>
      </c>
      <c r="H153" s="12" t="s">
        <v>300</v>
      </c>
      <c r="I153" s="8" t="s">
        <v>13</v>
      </c>
    </row>
    <row r="154" spans="1:9">
      <c r="A154" s="12" t="s">
        <v>565</v>
      </c>
      <c r="B154" s="8">
        <v>2020</v>
      </c>
      <c r="C154" s="12" t="s">
        <v>570</v>
      </c>
      <c r="D154" s="9">
        <f>16.65*1.21</f>
        <v>20.146499999999996</v>
      </c>
      <c r="E154" s="14">
        <v>44015</v>
      </c>
      <c r="F154" s="11">
        <v>44042</v>
      </c>
      <c r="G154" s="12" t="s">
        <v>578</v>
      </c>
      <c r="H154" s="12" t="s">
        <v>574</v>
      </c>
      <c r="I154" s="8" t="s">
        <v>13</v>
      </c>
    </row>
    <row r="155" spans="1:9">
      <c r="A155" s="12" t="s">
        <v>566</v>
      </c>
      <c r="B155" s="8">
        <v>2020</v>
      </c>
      <c r="C155" s="12" t="s">
        <v>571</v>
      </c>
      <c r="D155" s="9">
        <f>400*1.21</f>
        <v>484</v>
      </c>
      <c r="E155" s="14">
        <v>44060</v>
      </c>
      <c r="F155" s="11">
        <v>44196</v>
      </c>
      <c r="G155" s="12" t="s">
        <v>579</v>
      </c>
      <c r="H155" s="12" t="s">
        <v>575</v>
      </c>
      <c r="I155" s="8" t="s">
        <v>13</v>
      </c>
    </row>
    <row r="156" spans="1:9" ht="63.75">
      <c r="A156" s="12" t="s">
        <v>567</v>
      </c>
      <c r="B156" s="8">
        <v>2020</v>
      </c>
      <c r="C156" s="12" t="s">
        <v>572</v>
      </c>
      <c r="D156" s="9">
        <f>1500*1.21</f>
        <v>1815</v>
      </c>
      <c r="E156" s="14">
        <v>44048</v>
      </c>
      <c r="F156" s="11">
        <f>E156+21</f>
        <v>44069</v>
      </c>
      <c r="G156" s="12" t="s">
        <v>580</v>
      </c>
      <c r="H156" s="12" t="s">
        <v>576</v>
      </c>
      <c r="I156" s="8" t="s">
        <v>13</v>
      </c>
    </row>
    <row r="157" spans="1:9" ht="25.5">
      <c r="A157" s="12" t="s">
        <v>568</v>
      </c>
      <c r="B157" s="8">
        <v>2020</v>
      </c>
      <c r="C157" s="12" t="s">
        <v>573</v>
      </c>
      <c r="D157" s="9">
        <f>6500*1.21</f>
        <v>7865</v>
      </c>
      <c r="E157" s="14">
        <v>44043</v>
      </c>
      <c r="F157" s="11">
        <f>E157+120</f>
        <v>44163</v>
      </c>
      <c r="G157" s="12" t="s">
        <v>581</v>
      </c>
      <c r="H157" s="12" t="s">
        <v>577</v>
      </c>
      <c r="I157" s="8" t="s">
        <v>13</v>
      </c>
    </row>
    <row r="158" spans="1:9">
      <c r="A158" s="12" t="s">
        <v>582</v>
      </c>
      <c r="B158" s="8">
        <v>2020</v>
      </c>
      <c r="C158" s="12" t="s">
        <v>596</v>
      </c>
      <c r="D158" s="9">
        <f>487.5*1.21</f>
        <v>589.875</v>
      </c>
      <c r="E158" s="14">
        <v>44075</v>
      </c>
      <c r="F158" s="11">
        <v>44196</v>
      </c>
      <c r="G158" s="12" t="s">
        <v>610</v>
      </c>
      <c r="H158" s="12" t="s">
        <v>327</v>
      </c>
      <c r="I158" s="8" t="s">
        <v>13</v>
      </c>
    </row>
    <row r="159" spans="1:9">
      <c r="A159" s="12" t="s">
        <v>583</v>
      </c>
      <c r="B159" s="8">
        <v>2020</v>
      </c>
      <c r="C159" s="12" t="s">
        <v>597</v>
      </c>
      <c r="D159" s="9">
        <f>900*1.21</f>
        <v>1089</v>
      </c>
      <c r="E159" s="14">
        <v>44060</v>
      </c>
      <c r="F159" s="11">
        <v>44196</v>
      </c>
      <c r="G159" s="12" t="s">
        <v>611</v>
      </c>
      <c r="H159" s="12" t="s">
        <v>620</v>
      </c>
      <c r="I159" s="8" t="s">
        <v>13</v>
      </c>
    </row>
    <row r="160" spans="1:9">
      <c r="A160" s="12" t="s">
        <v>584</v>
      </c>
      <c r="B160" s="8">
        <v>2020</v>
      </c>
      <c r="C160" s="12" t="s">
        <v>598</v>
      </c>
      <c r="D160" s="9">
        <v>517.5</v>
      </c>
      <c r="E160" s="14">
        <v>44060</v>
      </c>
      <c r="F160" s="11">
        <v>44196</v>
      </c>
      <c r="G160" s="12" t="s">
        <v>612</v>
      </c>
      <c r="H160" s="12" t="s">
        <v>621</v>
      </c>
      <c r="I160" s="8" t="s">
        <v>13</v>
      </c>
    </row>
    <row r="161" spans="1:9">
      <c r="A161" s="12" t="s">
        <v>585</v>
      </c>
      <c r="B161" s="8">
        <v>2020</v>
      </c>
      <c r="C161" s="12" t="s">
        <v>599</v>
      </c>
      <c r="D161" s="9">
        <v>450</v>
      </c>
      <c r="E161" s="14">
        <v>44060</v>
      </c>
      <c r="F161" s="11">
        <v>44196</v>
      </c>
      <c r="G161" s="12" t="s">
        <v>612</v>
      </c>
      <c r="H161" s="12" t="s">
        <v>621</v>
      </c>
      <c r="I161" s="8" t="s">
        <v>13</v>
      </c>
    </row>
    <row r="162" spans="1:9" ht="25.5">
      <c r="A162" s="12" t="s">
        <v>586</v>
      </c>
      <c r="B162" s="8">
        <v>2020</v>
      </c>
      <c r="C162" s="12" t="s">
        <v>600</v>
      </c>
      <c r="D162" s="9">
        <v>415</v>
      </c>
      <c r="E162" s="14">
        <v>44048</v>
      </c>
      <c r="F162" s="11">
        <v>44196</v>
      </c>
      <c r="G162" s="12" t="s">
        <v>613</v>
      </c>
      <c r="H162" s="12" t="s">
        <v>622</v>
      </c>
      <c r="I162" s="8" t="s">
        <v>13</v>
      </c>
    </row>
    <row r="163" spans="1:9" ht="25.5">
      <c r="A163" s="12" t="s">
        <v>587</v>
      </c>
      <c r="B163" s="8">
        <v>2020</v>
      </c>
      <c r="C163" s="12" t="s">
        <v>601</v>
      </c>
      <c r="D163" s="9">
        <v>515</v>
      </c>
      <c r="E163" s="14">
        <v>44048</v>
      </c>
      <c r="F163" s="11">
        <v>44196</v>
      </c>
      <c r="G163" s="12" t="s">
        <v>613</v>
      </c>
      <c r="H163" s="12" t="s">
        <v>622</v>
      </c>
      <c r="I163" s="8" t="s">
        <v>13</v>
      </c>
    </row>
    <row r="164" spans="1:9" ht="25.5">
      <c r="A164" s="12" t="s">
        <v>588</v>
      </c>
      <c r="B164" s="8">
        <v>2020</v>
      </c>
      <c r="C164" s="12" t="s">
        <v>602</v>
      </c>
      <c r="D164" s="9">
        <v>330</v>
      </c>
      <c r="E164" s="14">
        <v>44048</v>
      </c>
      <c r="F164" s="11">
        <v>44196</v>
      </c>
      <c r="G164" s="12" t="s">
        <v>613</v>
      </c>
      <c r="H164" s="12" t="s">
        <v>622</v>
      </c>
      <c r="I164" s="8" t="s">
        <v>13</v>
      </c>
    </row>
    <row r="165" spans="1:9">
      <c r="A165" s="12" t="s">
        <v>589</v>
      </c>
      <c r="B165" s="8">
        <v>2020</v>
      </c>
      <c r="C165" s="12" t="s">
        <v>603</v>
      </c>
      <c r="D165" s="9">
        <f>1511.6*1.21</f>
        <v>1829.0359999999998</v>
      </c>
      <c r="E165" s="14">
        <v>44021</v>
      </c>
      <c r="F165" s="11">
        <f>E165+30</f>
        <v>44051</v>
      </c>
      <c r="G165" s="12" t="s">
        <v>614</v>
      </c>
      <c r="H165" s="12" t="s">
        <v>30</v>
      </c>
      <c r="I165" s="8" t="s">
        <v>13</v>
      </c>
    </row>
    <row r="166" spans="1:9" ht="25.5">
      <c r="A166" s="12" t="s">
        <v>590</v>
      </c>
      <c r="B166" s="8">
        <v>2020</v>
      </c>
      <c r="C166" s="12" t="s">
        <v>604</v>
      </c>
      <c r="D166" s="9">
        <f>481.28*1.21</f>
        <v>582.34879999999998</v>
      </c>
      <c r="E166" s="14">
        <v>44044</v>
      </c>
      <c r="F166" s="11">
        <f>E166+30</f>
        <v>44074</v>
      </c>
      <c r="G166" s="12" t="s">
        <v>615</v>
      </c>
      <c r="H166" s="12" t="s">
        <v>30</v>
      </c>
      <c r="I166" s="8" t="s">
        <v>13</v>
      </c>
    </row>
    <row r="167" spans="1:9">
      <c r="A167" s="12" t="s">
        <v>591</v>
      </c>
      <c r="B167" s="8">
        <v>2020</v>
      </c>
      <c r="C167" s="12" t="s">
        <v>605</v>
      </c>
      <c r="D167" s="9">
        <f>644.67*1.21</f>
        <v>780.05069999999989</v>
      </c>
      <c r="E167" s="14">
        <v>44044</v>
      </c>
      <c r="F167" s="11">
        <f>E167+15</f>
        <v>44059</v>
      </c>
      <c r="G167" s="12" t="s">
        <v>616</v>
      </c>
      <c r="H167" s="12" t="s">
        <v>623</v>
      </c>
      <c r="I167" s="8" t="s">
        <v>13</v>
      </c>
    </row>
    <row r="168" spans="1:9">
      <c r="A168" s="12" t="s">
        <v>592</v>
      </c>
      <c r="B168" s="8">
        <v>2020</v>
      </c>
      <c r="C168" s="12" t="s">
        <v>606</v>
      </c>
      <c r="D168" s="9">
        <f>1475.71*1.21</f>
        <v>1785.6090999999999</v>
      </c>
      <c r="E168" s="14">
        <v>44043</v>
      </c>
      <c r="F168" s="11">
        <f>E168+15</f>
        <v>44058</v>
      </c>
      <c r="G168" s="12" t="s">
        <v>616</v>
      </c>
      <c r="H168" s="12" t="s">
        <v>623</v>
      </c>
      <c r="I168" s="8" t="s">
        <v>13</v>
      </c>
    </row>
    <row r="169" spans="1:9" ht="25.5">
      <c r="A169" s="12" t="s">
        <v>593</v>
      </c>
      <c r="B169" s="8">
        <v>2020</v>
      </c>
      <c r="C169" s="12" t="s">
        <v>607</v>
      </c>
      <c r="D169" s="9">
        <f>2148.78*1.21</f>
        <v>2600.0238000000004</v>
      </c>
      <c r="E169" s="14">
        <v>44075</v>
      </c>
      <c r="F169" s="11">
        <v>44101</v>
      </c>
      <c r="G169" s="12" t="s">
        <v>617</v>
      </c>
      <c r="H169" s="12" t="s">
        <v>624</v>
      </c>
      <c r="I169" s="8" t="s">
        <v>13</v>
      </c>
    </row>
    <row r="170" spans="1:9" ht="25.5">
      <c r="A170" s="12" t="s">
        <v>594</v>
      </c>
      <c r="B170" s="8">
        <v>2020</v>
      </c>
      <c r="C170" s="12" t="s">
        <v>608</v>
      </c>
      <c r="D170" s="9">
        <f>225*1.21</f>
        <v>272.25</v>
      </c>
      <c r="E170" s="14">
        <v>44060</v>
      </c>
      <c r="F170" s="11">
        <v>44196</v>
      </c>
      <c r="G170" s="12" t="s">
        <v>618</v>
      </c>
      <c r="H170" s="12" t="s">
        <v>625</v>
      </c>
      <c r="I170" s="8" t="s">
        <v>13</v>
      </c>
    </row>
    <row r="171" spans="1:9">
      <c r="A171" s="12" t="s">
        <v>595</v>
      </c>
      <c r="B171" s="8">
        <v>2020</v>
      </c>
      <c r="C171" s="12" t="s">
        <v>609</v>
      </c>
      <c r="D171" s="9">
        <f>322.41*1.21</f>
        <v>390.11610000000002</v>
      </c>
      <c r="E171" s="14">
        <v>44048</v>
      </c>
      <c r="F171" s="11">
        <v>44048</v>
      </c>
      <c r="G171" s="12" t="s">
        <v>619</v>
      </c>
      <c r="H171" s="12" t="s">
        <v>289</v>
      </c>
      <c r="I171" s="8" t="s">
        <v>13</v>
      </c>
    </row>
    <row r="172" spans="1:9" ht="25.5">
      <c r="A172" s="12" t="s">
        <v>626</v>
      </c>
      <c r="B172" s="8">
        <v>2020</v>
      </c>
      <c r="C172" s="12" t="s">
        <v>644</v>
      </c>
      <c r="D172" s="9">
        <v>177.17</v>
      </c>
      <c r="E172" s="14">
        <v>44049</v>
      </c>
      <c r="F172" s="11">
        <f>E172+15</f>
        <v>44064</v>
      </c>
      <c r="G172" s="12" t="s">
        <v>676</v>
      </c>
      <c r="H172" s="12" t="s">
        <v>662</v>
      </c>
      <c r="I172" s="8" t="s">
        <v>13</v>
      </c>
    </row>
    <row r="173" spans="1:9" ht="25.5">
      <c r="A173" s="12" t="s">
        <v>627</v>
      </c>
      <c r="B173" s="8">
        <v>2020</v>
      </c>
      <c r="C173" s="12" t="s">
        <v>645</v>
      </c>
      <c r="D173" s="9">
        <v>1149.5</v>
      </c>
      <c r="E173" s="14">
        <v>44049</v>
      </c>
      <c r="F173" s="11">
        <f>E173+60</f>
        <v>44109</v>
      </c>
      <c r="G173" s="12" t="s">
        <v>677</v>
      </c>
      <c r="H173" s="12" t="s">
        <v>663</v>
      </c>
      <c r="I173" s="8" t="s">
        <v>13</v>
      </c>
    </row>
    <row r="174" spans="1:9">
      <c r="A174" s="12" t="s">
        <v>628</v>
      </c>
      <c r="B174" s="8">
        <v>2020</v>
      </c>
      <c r="C174" s="12" t="s">
        <v>646</v>
      </c>
      <c r="D174" s="9">
        <v>1936</v>
      </c>
      <c r="E174" s="14">
        <v>44089</v>
      </c>
      <c r="F174" s="11">
        <v>44196</v>
      </c>
      <c r="G174" s="12" t="s">
        <v>678</v>
      </c>
      <c r="H174" s="12" t="s">
        <v>506</v>
      </c>
      <c r="I174" s="8" t="s">
        <v>13</v>
      </c>
    </row>
    <row r="175" spans="1:9" ht="25.5">
      <c r="A175" s="12" t="s">
        <v>629</v>
      </c>
      <c r="B175" s="8">
        <v>2020</v>
      </c>
      <c r="C175" s="12" t="s">
        <v>647</v>
      </c>
      <c r="D175" s="9">
        <v>847</v>
      </c>
      <c r="E175" s="14">
        <v>44043</v>
      </c>
      <c r="F175" s="11">
        <f>E175+60</f>
        <v>44103</v>
      </c>
      <c r="G175" s="12" t="s">
        <v>559</v>
      </c>
      <c r="H175" s="12" t="s">
        <v>552</v>
      </c>
      <c r="I175" s="8" t="s">
        <v>13</v>
      </c>
    </row>
    <row r="176" spans="1:9" ht="25.5">
      <c r="A176" s="12" t="s">
        <v>630</v>
      </c>
      <c r="B176" s="8">
        <v>2020</v>
      </c>
      <c r="C176" s="12" t="s">
        <v>648</v>
      </c>
      <c r="D176" s="9">
        <v>2420</v>
      </c>
      <c r="E176" s="14">
        <v>44075</v>
      </c>
      <c r="F176" s="11">
        <v>44180</v>
      </c>
      <c r="G176" s="12" t="s">
        <v>679</v>
      </c>
      <c r="H176" s="12" t="s">
        <v>664</v>
      </c>
      <c r="I176" s="8" t="s">
        <v>13</v>
      </c>
    </row>
    <row r="177" spans="1:9">
      <c r="A177" s="12" t="s">
        <v>631</v>
      </c>
      <c r="B177" s="8">
        <v>2020</v>
      </c>
      <c r="C177" s="12" t="s">
        <v>649</v>
      </c>
      <c r="D177" s="9">
        <v>653.4</v>
      </c>
      <c r="E177" s="14">
        <v>44056</v>
      </c>
      <c r="F177" s="11">
        <v>44056</v>
      </c>
      <c r="G177" s="12" t="s">
        <v>485</v>
      </c>
      <c r="H177" s="12" t="s">
        <v>337</v>
      </c>
      <c r="I177" s="8" t="s">
        <v>13</v>
      </c>
    </row>
    <row r="178" spans="1:9">
      <c r="A178" s="12" t="s">
        <v>632</v>
      </c>
      <c r="B178" s="8">
        <v>2020</v>
      </c>
      <c r="C178" s="12" t="s">
        <v>650</v>
      </c>
      <c r="D178" s="9">
        <v>363</v>
      </c>
      <c r="E178" s="14">
        <v>44046</v>
      </c>
      <c r="F178" s="11">
        <v>44196</v>
      </c>
      <c r="G178" s="12" t="s">
        <v>680</v>
      </c>
      <c r="H178" s="12" t="s">
        <v>665</v>
      </c>
      <c r="I178" s="8" t="s">
        <v>13</v>
      </c>
    </row>
    <row r="179" spans="1:9">
      <c r="A179" s="12" t="s">
        <v>633</v>
      </c>
      <c r="B179" s="8">
        <v>2020</v>
      </c>
      <c r="C179" s="12" t="s">
        <v>651</v>
      </c>
      <c r="D179" s="9">
        <v>707.85</v>
      </c>
      <c r="E179" s="14">
        <v>44056</v>
      </c>
      <c r="F179" s="11">
        <v>44056</v>
      </c>
      <c r="G179" s="12" t="s">
        <v>681</v>
      </c>
      <c r="H179" s="12" t="s">
        <v>502</v>
      </c>
      <c r="I179" s="8" t="s">
        <v>13</v>
      </c>
    </row>
    <row r="180" spans="1:9">
      <c r="A180" s="12" t="s">
        <v>634</v>
      </c>
      <c r="B180" s="8">
        <v>2020</v>
      </c>
      <c r="C180" s="12" t="s">
        <v>652</v>
      </c>
      <c r="D180" s="9">
        <v>363</v>
      </c>
      <c r="E180" s="14">
        <v>44046</v>
      </c>
      <c r="F180" s="11">
        <v>44196</v>
      </c>
      <c r="G180" s="12" t="s">
        <v>682</v>
      </c>
      <c r="H180" s="12" t="s">
        <v>666</v>
      </c>
      <c r="I180" s="8" t="s">
        <v>13</v>
      </c>
    </row>
    <row r="181" spans="1:9">
      <c r="A181" s="12" t="s">
        <v>635</v>
      </c>
      <c r="B181" s="8">
        <v>2020</v>
      </c>
      <c r="C181" s="12" t="s">
        <v>653</v>
      </c>
      <c r="D181" s="9">
        <v>150</v>
      </c>
      <c r="E181" s="14">
        <v>44046</v>
      </c>
      <c r="F181" s="11">
        <v>44196</v>
      </c>
      <c r="G181" s="12" t="s">
        <v>683</v>
      </c>
      <c r="H181" s="12" t="s">
        <v>667</v>
      </c>
      <c r="I181" s="8" t="s">
        <v>13</v>
      </c>
    </row>
    <row r="182" spans="1:9" ht="25.5">
      <c r="A182" s="12" t="s">
        <v>636</v>
      </c>
      <c r="B182" s="8">
        <v>2020</v>
      </c>
      <c r="C182" s="12" t="s">
        <v>654</v>
      </c>
      <c r="D182" s="9">
        <v>804.65</v>
      </c>
      <c r="E182" s="14">
        <v>44126</v>
      </c>
      <c r="F182" s="11">
        <f>E182+180</f>
        <v>44306</v>
      </c>
      <c r="G182" s="12" t="s">
        <v>684</v>
      </c>
      <c r="H182" s="12" t="s">
        <v>668</v>
      </c>
      <c r="I182" s="8" t="s">
        <v>13</v>
      </c>
    </row>
    <row r="183" spans="1:9">
      <c r="A183" s="12" t="s">
        <v>637</v>
      </c>
      <c r="B183" s="8">
        <v>2020</v>
      </c>
      <c r="C183" s="12" t="s">
        <v>655</v>
      </c>
      <c r="D183" s="9">
        <v>300</v>
      </c>
      <c r="E183" s="14">
        <v>44046</v>
      </c>
      <c r="F183" s="11">
        <v>44196</v>
      </c>
      <c r="G183" s="12" t="s">
        <v>685</v>
      </c>
      <c r="H183" s="12" t="s">
        <v>669</v>
      </c>
      <c r="I183" s="8" t="s">
        <v>13</v>
      </c>
    </row>
    <row r="184" spans="1:9">
      <c r="A184" s="12" t="s">
        <v>638</v>
      </c>
      <c r="B184" s="8">
        <v>2020</v>
      </c>
      <c r="C184" s="12" t="s">
        <v>656</v>
      </c>
      <c r="D184" s="9">
        <v>300</v>
      </c>
      <c r="E184" s="14">
        <v>44046</v>
      </c>
      <c r="F184" s="11">
        <v>44196</v>
      </c>
      <c r="G184" s="12" t="s">
        <v>686</v>
      </c>
      <c r="H184" s="12" t="s">
        <v>670</v>
      </c>
      <c r="I184" s="8" t="s">
        <v>13</v>
      </c>
    </row>
    <row r="185" spans="1:9" ht="25.5">
      <c r="A185" s="12" t="s">
        <v>639</v>
      </c>
      <c r="B185" s="8">
        <v>2020</v>
      </c>
      <c r="C185" s="12" t="s">
        <v>657</v>
      </c>
      <c r="D185" s="9">
        <v>3690.5</v>
      </c>
      <c r="E185" s="14">
        <v>44076</v>
      </c>
      <c r="F185" s="11">
        <f>E185+21</f>
        <v>44097</v>
      </c>
      <c r="G185" s="12" t="s">
        <v>687</v>
      </c>
      <c r="H185" s="12" t="s">
        <v>671</v>
      </c>
      <c r="I185" s="8" t="s">
        <v>13</v>
      </c>
    </row>
    <row r="186" spans="1:9">
      <c r="A186" s="12" t="s">
        <v>640</v>
      </c>
      <c r="B186" s="8">
        <v>2020</v>
      </c>
      <c r="C186" s="12" t="s">
        <v>658</v>
      </c>
      <c r="D186" s="9">
        <v>300</v>
      </c>
      <c r="E186" s="14">
        <v>44046</v>
      </c>
      <c r="F186" s="11">
        <v>44196</v>
      </c>
      <c r="G186" s="12" t="s">
        <v>688</v>
      </c>
      <c r="H186" s="12" t="s">
        <v>672</v>
      </c>
      <c r="I186" s="8" t="s">
        <v>13</v>
      </c>
    </row>
    <row r="187" spans="1:9">
      <c r="A187" s="12" t="s">
        <v>641</v>
      </c>
      <c r="B187" s="8">
        <v>2020</v>
      </c>
      <c r="C187" s="12" t="s">
        <v>659</v>
      </c>
      <c r="D187" s="9">
        <v>300</v>
      </c>
      <c r="E187" s="14">
        <v>44046</v>
      </c>
      <c r="F187" s="11">
        <v>44196</v>
      </c>
      <c r="G187" s="12" t="s">
        <v>689</v>
      </c>
      <c r="H187" s="12" t="s">
        <v>673</v>
      </c>
      <c r="I187" s="8" t="s">
        <v>13</v>
      </c>
    </row>
    <row r="188" spans="1:9">
      <c r="A188" s="12" t="s">
        <v>642</v>
      </c>
      <c r="B188" s="8">
        <v>2020</v>
      </c>
      <c r="C188" s="12" t="s">
        <v>660</v>
      </c>
      <c r="D188" s="9">
        <v>150</v>
      </c>
      <c r="E188" s="14">
        <v>44046</v>
      </c>
      <c r="F188" s="11">
        <v>44196</v>
      </c>
      <c r="G188" s="12" t="s">
        <v>690</v>
      </c>
      <c r="H188" s="12" t="s">
        <v>674</v>
      </c>
      <c r="I188" s="8" t="s">
        <v>13</v>
      </c>
    </row>
    <row r="189" spans="1:9" ht="25.5">
      <c r="A189" s="12" t="s">
        <v>643</v>
      </c>
      <c r="B189" s="8">
        <v>2020</v>
      </c>
      <c r="C189" s="12" t="s">
        <v>661</v>
      </c>
      <c r="D189" s="9">
        <v>1694</v>
      </c>
      <c r="E189" s="14">
        <v>44126</v>
      </c>
      <c r="F189" s="11">
        <f>E189+90</f>
        <v>44216</v>
      </c>
      <c r="G189" s="12" t="s">
        <v>691</v>
      </c>
      <c r="H189" s="12" t="s">
        <v>675</v>
      </c>
      <c r="I189" s="8" t="s">
        <v>13</v>
      </c>
    </row>
    <row r="190" spans="1:9" ht="25.5">
      <c r="A190" s="12" t="s">
        <v>692</v>
      </c>
      <c r="B190" s="8">
        <v>2020</v>
      </c>
      <c r="C190" s="12" t="s">
        <v>697</v>
      </c>
      <c r="D190" s="9">
        <v>2656.01</v>
      </c>
      <c r="E190" s="14">
        <v>44117</v>
      </c>
      <c r="F190" s="11">
        <f>E190+30</f>
        <v>44147</v>
      </c>
      <c r="G190" s="12" t="s">
        <v>421</v>
      </c>
      <c r="H190" s="12" t="s">
        <v>347</v>
      </c>
      <c r="I190" s="8" t="s">
        <v>13</v>
      </c>
    </row>
    <row r="191" spans="1:9">
      <c r="A191" s="12" t="s">
        <v>693</v>
      </c>
      <c r="B191" s="8">
        <v>2020</v>
      </c>
      <c r="C191" s="12" t="s">
        <v>698</v>
      </c>
      <c r="D191" s="9">
        <v>300</v>
      </c>
      <c r="E191" s="14">
        <v>44046</v>
      </c>
      <c r="F191" s="11">
        <v>44196</v>
      </c>
      <c r="G191" s="12" t="s">
        <v>706</v>
      </c>
      <c r="H191" s="12" t="s">
        <v>702</v>
      </c>
      <c r="I191" s="8" t="s">
        <v>13</v>
      </c>
    </row>
    <row r="192" spans="1:9">
      <c r="A192" s="12" t="s">
        <v>694</v>
      </c>
      <c r="B192" s="8">
        <v>2020</v>
      </c>
      <c r="C192" s="12" t="s">
        <v>699</v>
      </c>
      <c r="D192" s="9">
        <v>350.9</v>
      </c>
      <c r="E192" s="14">
        <v>44106</v>
      </c>
      <c r="F192" s="11">
        <v>44196</v>
      </c>
      <c r="G192" s="12" t="s">
        <v>707</v>
      </c>
      <c r="H192" s="12" t="s">
        <v>703</v>
      </c>
      <c r="I192" s="8" t="s">
        <v>13</v>
      </c>
    </row>
    <row r="193" spans="1:9">
      <c r="A193" s="12" t="s">
        <v>695</v>
      </c>
      <c r="B193" s="8">
        <v>2020</v>
      </c>
      <c r="C193" s="12" t="s">
        <v>700</v>
      </c>
      <c r="D193" s="9">
        <v>726</v>
      </c>
      <c r="E193" s="14">
        <v>44075</v>
      </c>
      <c r="F193" s="11">
        <v>44104</v>
      </c>
      <c r="G193" s="12" t="s">
        <v>708</v>
      </c>
      <c r="H193" s="12" t="s">
        <v>704</v>
      </c>
      <c r="I193" s="8" t="s">
        <v>13</v>
      </c>
    </row>
    <row r="194" spans="1:9">
      <c r="A194" s="12" t="s">
        <v>696</v>
      </c>
      <c r="B194" s="8">
        <v>2020</v>
      </c>
      <c r="C194" s="12" t="s">
        <v>701</v>
      </c>
      <c r="D194" s="9">
        <v>1468.08</v>
      </c>
      <c r="E194" s="14">
        <v>44088</v>
      </c>
      <c r="F194" s="11">
        <v>44104</v>
      </c>
      <c r="G194" s="12" t="s">
        <v>709</v>
      </c>
      <c r="H194" s="12" t="s">
        <v>705</v>
      </c>
      <c r="I194" s="8" t="s">
        <v>13</v>
      </c>
    </row>
    <row r="195" spans="1:9">
      <c r="A195" s="12" t="s">
        <v>710</v>
      </c>
      <c r="B195" s="8">
        <v>2020</v>
      </c>
      <c r="C195" s="12" t="s">
        <v>649</v>
      </c>
      <c r="D195" s="9">
        <f>212*1.21</f>
        <v>256.52</v>
      </c>
      <c r="E195" s="14">
        <v>44056</v>
      </c>
      <c r="F195" s="11">
        <v>44056</v>
      </c>
      <c r="G195" s="12" t="s">
        <v>408</v>
      </c>
      <c r="H195" s="12" t="s">
        <v>334</v>
      </c>
      <c r="I195" s="8" t="s">
        <v>13</v>
      </c>
    </row>
    <row r="196" spans="1:9">
      <c r="A196" s="12" t="s">
        <v>711</v>
      </c>
      <c r="B196" s="8">
        <v>2020</v>
      </c>
      <c r="C196" s="12" t="s">
        <v>649</v>
      </c>
      <c r="D196" s="9">
        <f>369*1.21</f>
        <v>446.49</v>
      </c>
      <c r="E196" s="14">
        <v>44056</v>
      </c>
      <c r="F196" s="11">
        <v>44056</v>
      </c>
      <c r="G196" s="12" t="s">
        <v>485</v>
      </c>
      <c r="H196" s="12" t="s">
        <v>337</v>
      </c>
      <c r="I196" s="8" t="s">
        <v>13</v>
      </c>
    </row>
    <row r="197" spans="1:9">
      <c r="A197" s="12" t="s">
        <v>712</v>
      </c>
      <c r="B197" s="8">
        <v>2020</v>
      </c>
      <c r="C197" s="12" t="s">
        <v>723</v>
      </c>
      <c r="D197" s="9">
        <f>3672*1.21</f>
        <v>4443.12</v>
      </c>
      <c r="E197" s="14">
        <v>44095</v>
      </c>
      <c r="F197" s="11">
        <v>44095</v>
      </c>
      <c r="G197" s="12" t="s">
        <v>737</v>
      </c>
      <c r="H197" s="12" t="s">
        <v>731</v>
      </c>
      <c r="I197" s="8" t="s">
        <v>13</v>
      </c>
    </row>
    <row r="198" spans="1:9">
      <c r="A198" s="12" t="s">
        <v>713</v>
      </c>
      <c r="B198" s="8">
        <v>2020</v>
      </c>
      <c r="C198" s="12" t="s">
        <v>724</v>
      </c>
      <c r="D198" s="9">
        <f>375*1.21</f>
        <v>453.75</v>
      </c>
      <c r="E198" s="14">
        <v>44047</v>
      </c>
      <c r="F198" s="11">
        <v>44048</v>
      </c>
      <c r="G198" s="12" t="s">
        <v>738</v>
      </c>
      <c r="H198" s="12" t="s">
        <v>732</v>
      </c>
      <c r="I198" s="8" t="s">
        <v>13</v>
      </c>
    </row>
    <row r="199" spans="1:9">
      <c r="A199" s="12" t="s">
        <v>714</v>
      </c>
      <c r="B199" s="8">
        <v>2020</v>
      </c>
      <c r="C199" s="12" t="s">
        <v>725</v>
      </c>
      <c r="D199" s="9">
        <f>1300*1.21</f>
        <v>1573</v>
      </c>
      <c r="E199" s="14">
        <v>44126</v>
      </c>
      <c r="F199" s="11">
        <v>44491</v>
      </c>
      <c r="G199" s="12" t="s">
        <v>739</v>
      </c>
      <c r="H199" s="12" t="s">
        <v>733</v>
      </c>
      <c r="I199" s="8" t="s">
        <v>13</v>
      </c>
    </row>
    <row r="200" spans="1:9">
      <c r="A200" s="12" t="s">
        <v>715</v>
      </c>
      <c r="B200" s="8">
        <v>2020</v>
      </c>
      <c r="C200" s="12" t="s">
        <v>726</v>
      </c>
      <c r="D200" s="9">
        <f>793.38*1.21</f>
        <v>959.98979999999995</v>
      </c>
      <c r="E200" s="14">
        <v>44092</v>
      </c>
      <c r="F200" s="11">
        <v>44104</v>
      </c>
      <c r="G200" s="12" t="s">
        <v>740</v>
      </c>
      <c r="H200" s="12" t="s">
        <v>734</v>
      </c>
      <c r="I200" s="8" t="s">
        <v>13</v>
      </c>
    </row>
    <row r="201" spans="1:9">
      <c r="A201" s="12" t="s">
        <v>716</v>
      </c>
      <c r="B201" s="8">
        <v>2020</v>
      </c>
      <c r="C201" s="12" t="s">
        <v>727</v>
      </c>
      <c r="D201" s="9">
        <v>1200</v>
      </c>
      <c r="E201" s="14">
        <v>44097</v>
      </c>
      <c r="F201" s="11">
        <v>44165</v>
      </c>
      <c r="G201" s="12" t="s">
        <v>741</v>
      </c>
      <c r="H201" s="12" t="s">
        <v>735</v>
      </c>
      <c r="I201" s="8" t="s">
        <v>13</v>
      </c>
    </row>
    <row r="202" spans="1:9">
      <c r="A202" s="12" t="s">
        <v>717</v>
      </c>
      <c r="B202" s="8">
        <v>2020</v>
      </c>
      <c r="C202" s="12" t="s">
        <v>728</v>
      </c>
      <c r="D202" s="9">
        <f>793.38*1.21</f>
        <v>959.98979999999995</v>
      </c>
      <c r="E202" s="14">
        <v>44097</v>
      </c>
      <c r="F202" s="11">
        <v>44165</v>
      </c>
      <c r="G202" s="12" t="s">
        <v>742</v>
      </c>
      <c r="H202" s="12" t="s">
        <v>736</v>
      </c>
      <c r="I202" s="8" t="s">
        <v>13</v>
      </c>
    </row>
    <row r="203" spans="1:9">
      <c r="A203" s="12" t="s">
        <v>718</v>
      </c>
      <c r="B203" s="8">
        <v>2020</v>
      </c>
      <c r="C203" s="12" t="s">
        <v>729</v>
      </c>
      <c r="D203" s="9">
        <f>172*1.21</f>
        <v>208.12</v>
      </c>
      <c r="E203" s="14">
        <v>44134</v>
      </c>
      <c r="F203" s="11">
        <f>E203+15</f>
        <v>44149</v>
      </c>
      <c r="G203" s="12" t="s">
        <v>364</v>
      </c>
      <c r="H203" s="12" t="s">
        <v>289</v>
      </c>
      <c r="I203" s="8" t="s">
        <v>13</v>
      </c>
    </row>
    <row r="204" spans="1:9">
      <c r="A204" s="12" t="s">
        <v>719</v>
      </c>
      <c r="B204" s="8">
        <v>2020</v>
      </c>
      <c r="C204" s="12" t="s">
        <v>649</v>
      </c>
      <c r="D204" s="9">
        <f>738*1.21</f>
        <v>892.98</v>
      </c>
      <c r="E204" s="14">
        <v>44056</v>
      </c>
      <c r="F204" s="11">
        <f>E204+15</f>
        <v>44071</v>
      </c>
      <c r="G204" s="12" t="s">
        <v>485</v>
      </c>
      <c r="H204" s="12" t="s">
        <v>337</v>
      </c>
      <c r="I204" s="8" t="s">
        <v>13</v>
      </c>
    </row>
    <row r="205" spans="1:9">
      <c r="A205" s="12" t="s">
        <v>720</v>
      </c>
      <c r="B205" s="8">
        <v>2020</v>
      </c>
      <c r="C205" s="12" t="s">
        <v>649</v>
      </c>
      <c r="D205" s="9">
        <f>424*1.21</f>
        <v>513.04</v>
      </c>
      <c r="E205" s="14">
        <v>44056</v>
      </c>
      <c r="F205" s="11">
        <v>44056</v>
      </c>
      <c r="G205" s="12" t="s">
        <v>408</v>
      </c>
      <c r="H205" s="12" t="s">
        <v>334</v>
      </c>
      <c r="I205" s="8" t="s">
        <v>13</v>
      </c>
    </row>
    <row r="206" spans="1:9">
      <c r="A206" s="12" t="s">
        <v>721</v>
      </c>
      <c r="B206" s="8">
        <v>2020</v>
      </c>
      <c r="C206" s="12" t="s">
        <v>649</v>
      </c>
      <c r="D206" s="9">
        <f>675*1.21</f>
        <v>816.75</v>
      </c>
      <c r="E206" s="14">
        <v>44056</v>
      </c>
      <c r="F206" s="11">
        <v>44073</v>
      </c>
      <c r="G206" s="12" t="s">
        <v>743</v>
      </c>
      <c r="H206" s="12" t="s">
        <v>502</v>
      </c>
      <c r="I206" s="8" t="s">
        <v>13</v>
      </c>
    </row>
    <row r="207" spans="1:9" ht="25.5">
      <c r="A207" s="12" t="s">
        <v>722</v>
      </c>
      <c r="B207" s="8">
        <v>2020</v>
      </c>
      <c r="C207" s="12" t="s">
        <v>730</v>
      </c>
      <c r="D207" s="9">
        <f>69.71*1.21</f>
        <v>84.349099999999993</v>
      </c>
      <c r="E207" s="14">
        <v>44075</v>
      </c>
      <c r="F207" s="11">
        <v>44196</v>
      </c>
      <c r="G207" s="12" t="s">
        <v>744</v>
      </c>
      <c r="H207" s="12" t="s">
        <v>43</v>
      </c>
      <c r="I207" s="8" t="s">
        <v>13</v>
      </c>
    </row>
    <row r="208" spans="1:9">
      <c r="A208" s="12" t="s">
        <v>745</v>
      </c>
      <c r="B208" s="8">
        <v>2020</v>
      </c>
      <c r="C208" s="12" t="s">
        <v>760</v>
      </c>
      <c r="D208" s="9">
        <f>850*1.21</f>
        <v>1028.5</v>
      </c>
      <c r="E208" s="14">
        <v>44158</v>
      </c>
      <c r="F208" s="11">
        <v>44196</v>
      </c>
      <c r="G208" s="12" t="s">
        <v>789</v>
      </c>
      <c r="H208" s="12" t="s">
        <v>774</v>
      </c>
      <c r="I208" s="8" t="s">
        <v>13</v>
      </c>
    </row>
    <row r="209" spans="1:9">
      <c r="A209" s="12" t="s">
        <v>746</v>
      </c>
      <c r="B209" s="8">
        <v>2020</v>
      </c>
      <c r="C209" s="12" t="s">
        <v>761</v>
      </c>
      <c r="D209" s="9">
        <f>719.07*1.21</f>
        <v>870.07470000000001</v>
      </c>
      <c r="E209" s="14">
        <v>44075</v>
      </c>
      <c r="F209" s="11">
        <v>44196</v>
      </c>
      <c r="G209" s="12" t="s">
        <v>790</v>
      </c>
      <c r="H209" s="12" t="s">
        <v>775</v>
      </c>
      <c r="I209" s="8" t="s">
        <v>13</v>
      </c>
    </row>
    <row r="210" spans="1:9">
      <c r="A210" s="12" t="s">
        <v>747</v>
      </c>
      <c r="B210" s="8">
        <v>2020</v>
      </c>
      <c r="C210" s="12" t="s">
        <v>762</v>
      </c>
      <c r="D210" s="9">
        <f>2552*1.21</f>
        <v>3087.92</v>
      </c>
      <c r="E210" s="14">
        <v>44162</v>
      </c>
      <c r="F210" s="11">
        <f>E210+60</f>
        <v>44222</v>
      </c>
      <c r="G210" s="12" t="s">
        <v>791</v>
      </c>
      <c r="H210" s="12" t="s">
        <v>776</v>
      </c>
      <c r="I210" s="8" t="s">
        <v>13</v>
      </c>
    </row>
    <row r="211" spans="1:9">
      <c r="A211" s="12" t="s">
        <v>805</v>
      </c>
      <c r="B211" s="8">
        <v>2020</v>
      </c>
      <c r="C211" s="12" t="s">
        <v>763</v>
      </c>
      <c r="D211" s="9">
        <f>800*1.21</f>
        <v>968</v>
      </c>
      <c r="E211" s="14">
        <v>44075</v>
      </c>
      <c r="F211" s="11">
        <v>44196</v>
      </c>
      <c r="G211" s="12" t="s">
        <v>792</v>
      </c>
      <c r="H211" s="12" t="s">
        <v>777</v>
      </c>
      <c r="I211" s="8" t="s">
        <v>13</v>
      </c>
    </row>
    <row r="212" spans="1:9">
      <c r="A212" s="12" t="s">
        <v>748</v>
      </c>
      <c r="B212" s="8">
        <v>2020</v>
      </c>
      <c r="C212" s="12" t="s">
        <v>764</v>
      </c>
      <c r="D212" s="9">
        <f>1800*1.21</f>
        <v>2178</v>
      </c>
      <c r="E212" s="14">
        <v>44076</v>
      </c>
      <c r="F212" s="11">
        <v>44196</v>
      </c>
      <c r="G212" s="12" t="s">
        <v>793</v>
      </c>
      <c r="H212" s="12" t="s">
        <v>778</v>
      </c>
      <c r="I212" s="8" t="s">
        <v>13</v>
      </c>
    </row>
    <row r="213" spans="1:9">
      <c r="A213" s="12" t="s">
        <v>749</v>
      </c>
      <c r="B213" s="8">
        <v>2020</v>
      </c>
      <c r="C213" s="12" t="s">
        <v>765</v>
      </c>
      <c r="D213" s="9">
        <f>480*1.21</f>
        <v>580.79999999999995</v>
      </c>
      <c r="E213" s="14">
        <v>44046</v>
      </c>
      <c r="F213" s="11">
        <v>44196</v>
      </c>
      <c r="G213" s="12" t="s">
        <v>794</v>
      </c>
      <c r="H213" s="12" t="s">
        <v>322</v>
      </c>
      <c r="I213" s="8" t="s">
        <v>13</v>
      </c>
    </row>
    <row r="214" spans="1:9">
      <c r="A214" s="12" t="s">
        <v>750</v>
      </c>
      <c r="B214" s="8">
        <v>2020</v>
      </c>
      <c r="C214" s="12" t="s">
        <v>766</v>
      </c>
      <c r="D214" s="9">
        <f>247.01*1.21</f>
        <v>298.88209999999998</v>
      </c>
      <c r="E214" s="14">
        <v>44126</v>
      </c>
      <c r="F214" s="11">
        <f>E214+20</f>
        <v>44146</v>
      </c>
      <c r="G214" s="12" t="s">
        <v>795</v>
      </c>
      <c r="H214" s="12" t="s">
        <v>779</v>
      </c>
      <c r="I214" s="8" t="s">
        <v>13</v>
      </c>
    </row>
    <row r="215" spans="1:9">
      <c r="A215" s="12" t="s">
        <v>751</v>
      </c>
      <c r="B215" s="8">
        <v>2020</v>
      </c>
      <c r="C215" s="12" t="s">
        <v>767</v>
      </c>
      <c r="D215" s="9">
        <f>1196.55*1.21</f>
        <v>1447.8254999999999</v>
      </c>
      <c r="E215" s="14">
        <v>44075</v>
      </c>
      <c r="F215" s="11">
        <v>44196</v>
      </c>
      <c r="G215" s="12" t="s">
        <v>796</v>
      </c>
      <c r="H215" s="12" t="s">
        <v>780</v>
      </c>
      <c r="I215" s="8" t="s">
        <v>13</v>
      </c>
    </row>
    <row r="216" spans="1:9">
      <c r="A216" s="12" t="s">
        <v>752</v>
      </c>
      <c r="B216" s="8">
        <v>2020</v>
      </c>
      <c r="C216" s="12" t="s">
        <v>768</v>
      </c>
      <c r="D216" s="9">
        <f>850*1.21</f>
        <v>1028.5</v>
      </c>
      <c r="E216" s="14">
        <v>44151</v>
      </c>
      <c r="F216" s="11">
        <f>E217+90</f>
        <v>44216</v>
      </c>
      <c r="G216" s="12" t="s">
        <v>797</v>
      </c>
      <c r="H216" s="12" t="s">
        <v>781</v>
      </c>
      <c r="I216" s="8" t="s">
        <v>13</v>
      </c>
    </row>
    <row r="217" spans="1:9" ht="25.5">
      <c r="A217" s="12" t="s">
        <v>753</v>
      </c>
      <c r="B217" s="8">
        <v>2020</v>
      </c>
      <c r="C217" s="12" t="s">
        <v>806</v>
      </c>
      <c r="D217" s="9">
        <v>2400</v>
      </c>
      <c r="E217" s="14">
        <v>44126</v>
      </c>
      <c r="F217" s="11">
        <f>E217+90</f>
        <v>44216</v>
      </c>
      <c r="G217" s="12" t="s">
        <v>798</v>
      </c>
      <c r="H217" s="12" t="s">
        <v>782</v>
      </c>
      <c r="I217" s="8" t="s">
        <v>13</v>
      </c>
    </row>
    <row r="218" spans="1:9" ht="25.5">
      <c r="A218" s="12" t="s">
        <v>754</v>
      </c>
      <c r="B218" s="8">
        <v>2020</v>
      </c>
      <c r="C218" s="12" t="s">
        <v>769</v>
      </c>
      <c r="D218" s="9">
        <v>3150</v>
      </c>
      <c r="E218" s="14">
        <v>44126</v>
      </c>
      <c r="F218" s="11">
        <v>44196</v>
      </c>
      <c r="G218" s="12" t="s">
        <v>799</v>
      </c>
      <c r="H218" s="12" t="s">
        <v>783</v>
      </c>
      <c r="I218" s="8" t="s">
        <v>13</v>
      </c>
    </row>
    <row r="219" spans="1:9">
      <c r="A219" s="12" t="s">
        <v>808</v>
      </c>
      <c r="B219" s="8">
        <v>2020</v>
      </c>
      <c r="C219" s="12" t="s">
        <v>809</v>
      </c>
      <c r="D219" s="9">
        <v>6400</v>
      </c>
      <c r="E219" s="14">
        <v>44070</v>
      </c>
      <c r="F219" s="11">
        <v>44070</v>
      </c>
      <c r="G219" s="12" t="s">
        <v>810</v>
      </c>
      <c r="H219" s="12" t="s">
        <v>811</v>
      </c>
      <c r="I219" s="8" t="s">
        <v>13</v>
      </c>
    </row>
    <row r="220" spans="1:9" ht="25.5">
      <c r="A220" s="12" t="s">
        <v>755</v>
      </c>
      <c r="B220" s="8">
        <v>2020</v>
      </c>
      <c r="C220" s="12" t="s">
        <v>770</v>
      </c>
      <c r="D220" s="9">
        <f>3000*1.21</f>
        <v>3630</v>
      </c>
      <c r="E220" s="14">
        <v>44119</v>
      </c>
      <c r="F220" s="11">
        <f>E220+120</f>
        <v>44239</v>
      </c>
      <c r="G220" s="12" t="s">
        <v>800</v>
      </c>
      <c r="H220" s="12" t="s">
        <v>784</v>
      </c>
      <c r="I220" s="8" t="s">
        <v>13</v>
      </c>
    </row>
    <row r="221" spans="1:9">
      <c r="A221" s="12" t="s">
        <v>756</v>
      </c>
      <c r="B221" s="8">
        <v>2020</v>
      </c>
      <c r="C221" s="12" t="s">
        <v>771</v>
      </c>
      <c r="D221" s="9">
        <v>3500</v>
      </c>
      <c r="E221" s="14">
        <v>44154</v>
      </c>
      <c r="F221" s="11">
        <v>44196</v>
      </c>
      <c r="G221" s="12" t="s">
        <v>801</v>
      </c>
      <c r="H221" s="12" t="s">
        <v>785</v>
      </c>
      <c r="I221" s="8" t="s">
        <v>13</v>
      </c>
    </row>
    <row r="222" spans="1:9">
      <c r="A222" s="12" t="s">
        <v>757</v>
      </c>
      <c r="B222" s="8">
        <v>2020</v>
      </c>
      <c r="C222" s="12" t="s">
        <v>807</v>
      </c>
      <c r="D222" s="9">
        <f>300*1.21</f>
        <v>363</v>
      </c>
      <c r="E222" s="14">
        <v>44106</v>
      </c>
      <c r="F222" s="11">
        <v>44196</v>
      </c>
      <c r="G222" s="12" t="s">
        <v>802</v>
      </c>
      <c r="H222" s="12" t="s">
        <v>786</v>
      </c>
      <c r="I222" s="8" t="s">
        <v>13</v>
      </c>
    </row>
    <row r="223" spans="1:9" ht="25.5">
      <c r="A223" s="12" t="s">
        <v>758</v>
      </c>
      <c r="B223" s="8">
        <v>2020</v>
      </c>
      <c r="C223" s="12" t="s">
        <v>772</v>
      </c>
      <c r="D223" s="9">
        <f>960*1.21</f>
        <v>1161.5999999999999</v>
      </c>
      <c r="E223" s="14">
        <v>44126</v>
      </c>
      <c r="F223" s="11">
        <v>44196</v>
      </c>
      <c r="G223" s="12" t="s">
        <v>803</v>
      </c>
      <c r="H223" s="12" t="s">
        <v>787</v>
      </c>
      <c r="I223" s="8" t="s">
        <v>13</v>
      </c>
    </row>
    <row r="224" spans="1:9">
      <c r="A224" s="12" t="s">
        <v>759</v>
      </c>
      <c r="B224" s="8">
        <v>2020</v>
      </c>
      <c r="C224" s="12" t="s">
        <v>773</v>
      </c>
      <c r="D224" s="9">
        <v>400</v>
      </c>
      <c r="E224" s="14">
        <v>44146</v>
      </c>
      <c r="F224" s="11">
        <v>44196</v>
      </c>
      <c r="G224" s="12" t="s">
        <v>804</v>
      </c>
      <c r="H224" s="12" t="s">
        <v>788</v>
      </c>
      <c r="I224" s="8" t="s">
        <v>13</v>
      </c>
    </row>
    <row r="225" spans="1:9">
      <c r="A225" s="12" t="s">
        <v>816</v>
      </c>
      <c r="B225" s="8">
        <v>2020</v>
      </c>
      <c r="C225" s="12" t="s">
        <v>840</v>
      </c>
      <c r="D225" s="9">
        <f>2400*1.21</f>
        <v>2904</v>
      </c>
      <c r="E225" s="14">
        <v>44158</v>
      </c>
      <c r="F225" s="11">
        <v>44196</v>
      </c>
      <c r="G225" s="12" t="s">
        <v>876</v>
      </c>
      <c r="H225" s="12" t="s">
        <v>863</v>
      </c>
      <c r="I225" s="8" t="s">
        <v>13</v>
      </c>
    </row>
    <row r="226" spans="1:9">
      <c r="A226" s="12" t="s">
        <v>817</v>
      </c>
      <c r="B226" s="8">
        <v>2020</v>
      </c>
      <c r="C226" s="12" t="s">
        <v>841</v>
      </c>
      <c r="D226" s="9">
        <f>120*1.21</f>
        <v>145.19999999999999</v>
      </c>
      <c r="E226" s="14">
        <v>44095</v>
      </c>
      <c r="F226" s="11">
        <v>44196</v>
      </c>
      <c r="G226" s="12" t="s">
        <v>877</v>
      </c>
      <c r="H226" s="12" t="s">
        <v>299</v>
      </c>
      <c r="I226" s="8" t="s">
        <v>13</v>
      </c>
    </row>
    <row r="227" spans="1:9">
      <c r="A227" s="12" t="s">
        <v>818</v>
      </c>
      <c r="B227" s="8">
        <v>2020</v>
      </c>
      <c r="C227" s="12" t="s">
        <v>842</v>
      </c>
      <c r="D227" s="9">
        <f>135*1.21</f>
        <v>163.35</v>
      </c>
      <c r="E227" s="14">
        <v>44095</v>
      </c>
      <c r="F227" s="11">
        <v>44095</v>
      </c>
      <c r="G227" s="12" t="s">
        <v>743</v>
      </c>
      <c r="H227" s="12" t="s">
        <v>502</v>
      </c>
      <c r="I227" s="8" t="s">
        <v>13</v>
      </c>
    </row>
    <row r="228" spans="1:9" ht="25.5">
      <c r="A228" s="12" t="s">
        <v>819</v>
      </c>
      <c r="B228" s="8">
        <v>2020</v>
      </c>
      <c r="C228" s="12" t="s">
        <v>843</v>
      </c>
      <c r="D228" s="9">
        <f>2398.76*1.21</f>
        <v>2902.4996000000001</v>
      </c>
      <c r="E228" s="14">
        <v>44075</v>
      </c>
      <c r="F228" s="11">
        <f>E228+90</f>
        <v>44165</v>
      </c>
      <c r="G228" s="12" t="s">
        <v>878</v>
      </c>
      <c r="H228" s="12" t="s">
        <v>320</v>
      </c>
      <c r="I228" s="8" t="s">
        <v>13</v>
      </c>
    </row>
    <row r="229" spans="1:9">
      <c r="A229" s="12" t="s">
        <v>820</v>
      </c>
      <c r="B229" s="8">
        <v>2020</v>
      </c>
      <c r="C229" s="12" t="s">
        <v>649</v>
      </c>
      <c r="D229" s="9">
        <f>224*1.21</f>
        <v>271.03999999999996</v>
      </c>
      <c r="E229" s="14">
        <v>44126</v>
      </c>
      <c r="F229" s="11">
        <v>44126</v>
      </c>
      <c r="G229" s="12" t="s">
        <v>408</v>
      </c>
      <c r="H229" s="12" t="s">
        <v>334</v>
      </c>
      <c r="I229" s="8" t="s">
        <v>13</v>
      </c>
    </row>
    <row r="230" spans="1:9" ht="25.5">
      <c r="A230" s="12" t="s">
        <v>821</v>
      </c>
      <c r="B230" s="8">
        <v>2020</v>
      </c>
      <c r="C230" s="12" t="s">
        <v>844</v>
      </c>
      <c r="D230" s="9">
        <f>261*1.21</f>
        <v>315.81</v>
      </c>
      <c r="E230" s="14">
        <v>44095</v>
      </c>
      <c r="F230" s="11">
        <v>44095</v>
      </c>
      <c r="G230" s="12" t="s">
        <v>485</v>
      </c>
      <c r="H230" s="12" t="s">
        <v>337</v>
      </c>
      <c r="I230" s="8" t="s">
        <v>13</v>
      </c>
    </row>
    <row r="231" spans="1:9">
      <c r="A231" s="12" t="s">
        <v>822</v>
      </c>
      <c r="B231" s="8">
        <v>2020</v>
      </c>
      <c r="C231" s="12" t="s">
        <v>845</v>
      </c>
      <c r="D231" s="9">
        <f>1590*1.21</f>
        <v>1923.8999999999999</v>
      </c>
      <c r="E231" s="14">
        <v>44166</v>
      </c>
      <c r="F231" s="11">
        <v>44196</v>
      </c>
      <c r="G231" s="12" t="s">
        <v>879</v>
      </c>
      <c r="H231" s="12" t="s">
        <v>864</v>
      </c>
      <c r="I231" s="8" t="s">
        <v>13</v>
      </c>
    </row>
    <row r="232" spans="1:9" ht="25.5">
      <c r="A232" s="12" t="s">
        <v>823</v>
      </c>
      <c r="B232" s="8">
        <v>2020</v>
      </c>
      <c r="C232" s="12" t="s">
        <v>846</v>
      </c>
      <c r="D232" s="9">
        <f>1600*1.21</f>
        <v>1936</v>
      </c>
      <c r="E232" s="14">
        <v>44167</v>
      </c>
      <c r="F232" s="11">
        <v>44196</v>
      </c>
      <c r="G232" s="12" t="s">
        <v>880</v>
      </c>
      <c r="H232" s="12" t="s">
        <v>865</v>
      </c>
      <c r="I232" s="8" t="s">
        <v>13</v>
      </c>
    </row>
    <row r="233" spans="1:9">
      <c r="A233" s="12" t="s">
        <v>824</v>
      </c>
      <c r="B233" s="8">
        <v>2020</v>
      </c>
      <c r="C233" s="12" t="s">
        <v>847</v>
      </c>
      <c r="D233" s="9">
        <f>249*1.21</f>
        <v>301.28999999999996</v>
      </c>
      <c r="E233" s="14">
        <v>44068</v>
      </c>
      <c r="F233" s="11">
        <f>E233+30</f>
        <v>44098</v>
      </c>
      <c r="G233" s="12" t="s">
        <v>881</v>
      </c>
      <c r="H233" s="12" t="s">
        <v>866</v>
      </c>
      <c r="I233" s="8" t="s">
        <v>13</v>
      </c>
    </row>
    <row r="234" spans="1:9" ht="25.5">
      <c r="A234" s="12" t="s">
        <v>825</v>
      </c>
      <c r="B234" s="8">
        <v>2020</v>
      </c>
      <c r="C234" s="12" t="s">
        <v>848</v>
      </c>
      <c r="D234" s="9">
        <f>2300*1.21</f>
        <v>2783</v>
      </c>
      <c r="E234" s="14">
        <v>44075</v>
      </c>
      <c r="F234" s="11">
        <v>44196</v>
      </c>
      <c r="G234" s="12" t="s">
        <v>882</v>
      </c>
      <c r="H234" s="12" t="s">
        <v>867</v>
      </c>
      <c r="I234" s="8" t="s">
        <v>13</v>
      </c>
    </row>
    <row r="235" spans="1:9" ht="25.5">
      <c r="A235" s="12" t="s">
        <v>826</v>
      </c>
      <c r="B235" s="8">
        <v>2020</v>
      </c>
      <c r="C235" s="12" t="s">
        <v>849</v>
      </c>
      <c r="D235" s="9">
        <f>2050*1.21</f>
        <v>2480.5</v>
      </c>
      <c r="E235" s="14">
        <v>44075</v>
      </c>
      <c r="F235" s="11">
        <v>44196</v>
      </c>
      <c r="G235" s="12" t="s">
        <v>481</v>
      </c>
      <c r="H235" s="12" t="s">
        <v>498</v>
      </c>
      <c r="I235" s="8" t="s">
        <v>13</v>
      </c>
    </row>
    <row r="236" spans="1:9" ht="25.5">
      <c r="A236" s="12" t="s">
        <v>827</v>
      </c>
      <c r="B236" s="8">
        <v>2020</v>
      </c>
      <c r="C236" s="12" t="s">
        <v>850</v>
      </c>
      <c r="D236" s="9">
        <f>2615*1.21</f>
        <v>3164.15</v>
      </c>
      <c r="E236" s="14">
        <v>44095</v>
      </c>
      <c r="F236" s="11">
        <v>44196</v>
      </c>
      <c r="G236" s="12" t="s">
        <v>883</v>
      </c>
      <c r="H236" s="12" t="s">
        <v>868</v>
      </c>
      <c r="I236" s="8" t="s">
        <v>13</v>
      </c>
    </row>
    <row r="237" spans="1:9" ht="25.5">
      <c r="A237" s="12" t="s">
        <v>828</v>
      </c>
      <c r="B237" s="8">
        <v>2020</v>
      </c>
      <c r="C237" s="12" t="s">
        <v>851</v>
      </c>
      <c r="D237" s="9">
        <f>1300*1.21</f>
        <v>1573</v>
      </c>
      <c r="E237" s="14">
        <v>44088</v>
      </c>
      <c r="F237" s="11">
        <v>44196</v>
      </c>
      <c r="G237" s="12" t="s">
        <v>884</v>
      </c>
      <c r="H237" s="12" t="s">
        <v>869</v>
      </c>
      <c r="I237" s="8" t="s">
        <v>13</v>
      </c>
    </row>
    <row r="238" spans="1:9" ht="38.25">
      <c r="A238" s="12" t="s">
        <v>829</v>
      </c>
      <c r="B238" s="8">
        <v>2020</v>
      </c>
      <c r="C238" s="12" t="s">
        <v>852</v>
      </c>
      <c r="D238" s="16">
        <f>2066.11*1.21</f>
        <v>2499.9931000000001</v>
      </c>
      <c r="E238" s="14">
        <v>44088</v>
      </c>
      <c r="F238" s="11">
        <v>44195</v>
      </c>
      <c r="G238" s="12" t="s">
        <v>419</v>
      </c>
      <c r="H238" s="12" t="s">
        <v>345</v>
      </c>
      <c r="I238" s="8" t="s">
        <v>13</v>
      </c>
    </row>
    <row r="239" spans="1:9" ht="25.5">
      <c r="A239" s="12" t="s">
        <v>830</v>
      </c>
      <c r="B239" s="8">
        <v>2020</v>
      </c>
      <c r="C239" s="12" t="s">
        <v>853</v>
      </c>
      <c r="D239" s="9">
        <v>272.43</v>
      </c>
      <c r="E239" s="14">
        <v>44089</v>
      </c>
      <c r="F239" s="11">
        <v>44089</v>
      </c>
      <c r="G239" s="12" t="s">
        <v>885</v>
      </c>
      <c r="H239" s="12" t="s">
        <v>870</v>
      </c>
      <c r="I239" s="8" t="s">
        <v>13</v>
      </c>
    </row>
    <row r="240" spans="1:9" ht="25.5">
      <c r="A240" s="12" t="s">
        <v>831</v>
      </c>
      <c r="B240" s="8">
        <v>2020</v>
      </c>
      <c r="C240" s="12" t="s">
        <v>854</v>
      </c>
      <c r="D240" s="9">
        <v>3162.6</v>
      </c>
      <c r="E240" s="14">
        <v>44095</v>
      </c>
      <c r="F240" s="11">
        <v>44095</v>
      </c>
      <c r="G240" s="12" t="s">
        <v>886</v>
      </c>
      <c r="H240" s="12" t="s">
        <v>355</v>
      </c>
      <c r="I240" s="8" t="s">
        <v>13</v>
      </c>
    </row>
    <row r="241" spans="1:9">
      <c r="A241" s="12" t="s">
        <v>832</v>
      </c>
      <c r="B241" s="8">
        <v>2020</v>
      </c>
      <c r="C241" s="12" t="s">
        <v>855</v>
      </c>
      <c r="D241" s="9">
        <f>540*1.21</f>
        <v>653.4</v>
      </c>
      <c r="E241" s="14">
        <v>44089</v>
      </c>
      <c r="F241" s="11">
        <v>44089</v>
      </c>
      <c r="G241" s="12" t="s">
        <v>485</v>
      </c>
      <c r="H241" s="12" t="s">
        <v>337</v>
      </c>
      <c r="I241" s="8" t="s">
        <v>13</v>
      </c>
    </row>
    <row r="242" spans="1:9">
      <c r="A242" s="12" t="s">
        <v>833</v>
      </c>
      <c r="B242" s="8">
        <v>2020</v>
      </c>
      <c r="C242" s="12" t="s">
        <v>856</v>
      </c>
      <c r="D242" s="9">
        <f>585*1.21</f>
        <v>707.85</v>
      </c>
      <c r="E242" s="14">
        <v>44097</v>
      </c>
      <c r="F242" s="11">
        <v>44099</v>
      </c>
      <c r="G242" s="12" t="s">
        <v>887</v>
      </c>
      <c r="H242" s="12" t="s">
        <v>502</v>
      </c>
      <c r="I242" s="8" t="s">
        <v>13</v>
      </c>
    </row>
    <row r="243" spans="1:9">
      <c r="A243" s="12" t="s">
        <v>834</v>
      </c>
      <c r="B243" s="8">
        <v>2020</v>
      </c>
      <c r="C243" s="12" t="s">
        <v>857</v>
      </c>
      <c r="D243" s="9">
        <f>1193.18*1.21</f>
        <v>1443.7478000000001</v>
      </c>
      <c r="E243" s="14">
        <v>44104</v>
      </c>
      <c r="F243" s="11">
        <v>44175</v>
      </c>
      <c r="G243" s="12" t="s">
        <v>888</v>
      </c>
      <c r="H243" s="12" t="s">
        <v>782</v>
      </c>
      <c r="I243" s="8" t="s">
        <v>13</v>
      </c>
    </row>
    <row r="244" spans="1:9">
      <c r="A244" s="12" t="s">
        <v>835</v>
      </c>
      <c r="B244" s="8">
        <v>2020</v>
      </c>
      <c r="C244" s="12" t="s">
        <v>858</v>
      </c>
      <c r="D244" s="9">
        <f>1200*1.21</f>
        <v>1452</v>
      </c>
      <c r="E244" s="14">
        <v>44082</v>
      </c>
      <c r="F244" s="11">
        <v>44196</v>
      </c>
      <c r="G244" s="12" t="s">
        <v>889</v>
      </c>
      <c r="H244" s="12" t="s">
        <v>871</v>
      </c>
      <c r="I244" s="8" t="s">
        <v>13</v>
      </c>
    </row>
    <row r="245" spans="1:9">
      <c r="A245" s="12" t="s">
        <v>836</v>
      </c>
      <c r="B245" s="8">
        <v>2020</v>
      </c>
      <c r="C245" s="12" t="s">
        <v>859</v>
      </c>
      <c r="D245" s="9">
        <f>1176*1.21</f>
        <v>1422.96</v>
      </c>
      <c r="E245" s="14">
        <v>44131</v>
      </c>
      <c r="F245" s="11">
        <f>E245+365</f>
        <v>44496</v>
      </c>
      <c r="G245" s="12" t="s">
        <v>890</v>
      </c>
      <c r="H245" s="12" t="s">
        <v>872</v>
      </c>
      <c r="I245" s="8" t="s">
        <v>13</v>
      </c>
    </row>
    <row r="246" spans="1:9" ht="25.5">
      <c r="A246" s="12" t="s">
        <v>837</v>
      </c>
      <c r="B246" s="8">
        <v>2020</v>
      </c>
      <c r="C246" s="12" t="s">
        <v>860</v>
      </c>
      <c r="D246" s="9">
        <f>3500*1.21</f>
        <v>4235</v>
      </c>
      <c r="E246" s="14">
        <v>44102</v>
      </c>
      <c r="F246" s="11">
        <f>E246+90</f>
        <v>44192</v>
      </c>
      <c r="G246" s="12" t="s">
        <v>891</v>
      </c>
      <c r="H246" s="12" t="s">
        <v>873</v>
      </c>
      <c r="I246" s="8" t="s">
        <v>13</v>
      </c>
    </row>
    <row r="247" spans="1:9" ht="25.5">
      <c r="A247" s="12" t="s">
        <v>838</v>
      </c>
      <c r="B247" s="8">
        <v>2020</v>
      </c>
      <c r="C247" s="12" t="s">
        <v>861</v>
      </c>
      <c r="D247" s="9">
        <f>3094.67*1.21</f>
        <v>3744.5506999999998</v>
      </c>
      <c r="E247" s="14">
        <v>44082</v>
      </c>
      <c r="F247" s="11">
        <v>44195</v>
      </c>
      <c r="G247" s="12" t="s">
        <v>892</v>
      </c>
      <c r="H247" s="12" t="s">
        <v>874</v>
      </c>
      <c r="I247" s="8" t="s">
        <v>13</v>
      </c>
    </row>
    <row r="248" spans="1:9" ht="25.5">
      <c r="A248" s="12" t="s">
        <v>839</v>
      </c>
      <c r="B248" s="8">
        <v>2020</v>
      </c>
      <c r="C248" s="12" t="s">
        <v>862</v>
      </c>
      <c r="D248" s="9">
        <f>622.6*1.21</f>
        <v>753.346</v>
      </c>
      <c r="E248" s="14">
        <v>44098</v>
      </c>
      <c r="F248" s="11">
        <v>44196</v>
      </c>
      <c r="G248" s="12" t="s">
        <v>893</v>
      </c>
      <c r="H248" s="12" t="s">
        <v>875</v>
      </c>
      <c r="I248" s="8" t="s">
        <v>13</v>
      </c>
    </row>
    <row r="249" spans="1:9" ht="25.5">
      <c r="A249" s="12" t="s">
        <v>1282</v>
      </c>
      <c r="B249" s="8">
        <v>2020</v>
      </c>
      <c r="C249" s="12" t="s">
        <v>1322</v>
      </c>
      <c r="D249" s="9">
        <f>2475*1.1</f>
        <v>2722.5</v>
      </c>
      <c r="E249" s="14">
        <v>44088</v>
      </c>
      <c r="F249" s="11">
        <v>44196</v>
      </c>
      <c r="G249" s="12" t="s">
        <v>1379</v>
      </c>
      <c r="H249" s="12" t="s">
        <v>1358</v>
      </c>
      <c r="I249" s="8" t="s">
        <v>13</v>
      </c>
    </row>
    <row r="250" spans="1:9">
      <c r="A250" s="12" t="s">
        <v>1283</v>
      </c>
      <c r="B250" s="8">
        <v>2020</v>
      </c>
      <c r="C250" s="12" t="s">
        <v>1323</v>
      </c>
      <c r="D250" s="9">
        <f>150*1.21</f>
        <v>181.5</v>
      </c>
      <c r="E250" s="14">
        <v>44102</v>
      </c>
      <c r="F250" s="11">
        <v>44196</v>
      </c>
      <c r="G250" s="12" t="s">
        <v>1380</v>
      </c>
      <c r="H250" s="12" t="s">
        <v>1359</v>
      </c>
      <c r="I250" s="8" t="s">
        <v>13</v>
      </c>
    </row>
    <row r="251" spans="1:9">
      <c r="A251" s="12" t="s">
        <v>1284</v>
      </c>
      <c r="B251" s="8">
        <v>2020</v>
      </c>
      <c r="C251" s="12" t="s">
        <v>1324</v>
      </c>
      <c r="D251" s="9">
        <f>1450*1.21</f>
        <v>1754.5</v>
      </c>
      <c r="E251" s="14">
        <v>44103</v>
      </c>
      <c r="F251" s="11">
        <v>44103</v>
      </c>
      <c r="G251" s="12" t="s">
        <v>1381</v>
      </c>
      <c r="H251" s="12" t="s">
        <v>1360</v>
      </c>
      <c r="I251" s="8" t="s">
        <v>13</v>
      </c>
    </row>
    <row r="252" spans="1:9">
      <c r="A252" s="12" t="s">
        <v>1285</v>
      </c>
      <c r="B252" s="8">
        <v>2020</v>
      </c>
      <c r="C252" s="12" t="s">
        <v>1325</v>
      </c>
      <c r="D252" s="9">
        <f>1530*1.21</f>
        <v>1851.3</v>
      </c>
      <c r="E252" s="14">
        <v>44103</v>
      </c>
      <c r="F252" s="11">
        <v>44103</v>
      </c>
      <c r="G252" s="12" t="s">
        <v>1382</v>
      </c>
      <c r="H252" s="12" t="s">
        <v>1361</v>
      </c>
      <c r="I252" s="8" t="s">
        <v>13</v>
      </c>
    </row>
    <row r="253" spans="1:9" ht="25.5">
      <c r="A253" s="12" t="s">
        <v>1286</v>
      </c>
      <c r="B253" s="8">
        <v>2020</v>
      </c>
      <c r="C253" s="12" t="s">
        <v>1326</v>
      </c>
      <c r="D253" s="9">
        <f>1000*1.21</f>
        <v>1210</v>
      </c>
      <c r="E253" s="14">
        <v>44103</v>
      </c>
      <c r="F253" s="11">
        <v>44103</v>
      </c>
      <c r="G253" s="12" t="s">
        <v>1383</v>
      </c>
      <c r="H253" s="12" t="s">
        <v>1222</v>
      </c>
      <c r="I253" s="8" t="s">
        <v>13</v>
      </c>
    </row>
    <row r="254" spans="1:9">
      <c r="A254" s="12" t="s">
        <v>1287</v>
      </c>
      <c r="B254" s="8">
        <v>2020</v>
      </c>
      <c r="C254" s="12" t="s">
        <v>1415</v>
      </c>
      <c r="D254" s="9">
        <f>135*1.21</f>
        <v>163.35</v>
      </c>
      <c r="E254" s="14">
        <v>44158</v>
      </c>
      <c r="F254" s="11">
        <v>44158</v>
      </c>
      <c r="G254" s="12" t="s">
        <v>1384</v>
      </c>
      <c r="H254" s="12" t="s">
        <v>1362</v>
      </c>
      <c r="I254" s="8" t="s">
        <v>13</v>
      </c>
    </row>
    <row r="255" spans="1:9">
      <c r="A255" s="12" t="s">
        <v>1288</v>
      </c>
      <c r="B255" s="8">
        <v>2020</v>
      </c>
      <c r="C255" s="12" t="s">
        <v>1327</v>
      </c>
      <c r="D255" s="9">
        <f>157.6*1.21</f>
        <v>190.696</v>
      </c>
      <c r="E255" s="14">
        <v>44103</v>
      </c>
      <c r="F255" s="11">
        <v>44103</v>
      </c>
      <c r="G255" s="12" t="s">
        <v>1385</v>
      </c>
      <c r="H255" s="12" t="s">
        <v>349</v>
      </c>
      <c r="I255" s="8" t="s">
        <v>13</v>
      </c>
    </row>
    <row r="256" spans="1:9" ht="38.25">
      <c r="A256" s="12" t="s">
        <v>1289</v>
      </c>
      <c r="B256" s="8">
        <v>2020</v>
      </c>
      <c r="C256" s="12" t="s">
        <v>1328</v>
      </c>
      <c r="D256" s="9">
        <f>480*1.21</f>
        <v>580.79999999999995</v>
      </c>
      <c r="E256" s="14">
        <v>44102</v>
      </c>
      <c r="F256" s="11">
        <v>44196</v>
      </c>
      <c r="G256" s="12" t="s">
        <v>1386</v>
      </c>
      <c r="H256" s="12" t="s">
        <v>1363</v>
      </c>
      <c r="I256" s="8" t="s">
        <v>13</v>
      </c>
    </row>
    <row r="257" spans="1:9">
      <c r="A257" s="12" t="s">
        <v>1290</v>
      </c>
      <c r="B257" s="8">
        <v>2020</v>
      </c>
      <c r="C257" s="12" t="s">
        <v>1329</v>
      </c>
      <c r="D257" s="9">
        <f>217.5*1.21</f>
        <v>263.17500000000001</v>
      </c>
      <c r="E257" s="14">
        <v>44102</v>
      </c>
      <c r="F257" s="11">
        <f>E257+5</f>
        <v>44107</v>
      </c>
      <c r="G257" s="12" t="s">
        <v>1387</v>
      </c>
      <c r="H257" s="12" t="s">
        <v>1241</v>
      </c>
      <c r="I257" s="8" t="s">
        <v>13</v>
      </c>
    </row>
    <row r="258" spans="1:9" ht="25.5">
      <c r="A258" s="12" t="s">
        <v>1291</v>
      </c>
      <c r="B258" s="8">
        <v>2020</v>
      </c>
      <c r="C258" s="12" t="s">
        <v>1330</v>
      </c>
      <c r="D258" s="9">
        <f>510*1.21</f>
        <v>617.1</v>
      </c>
      <c r="E258" s="14">
        <v>44123</v>
      </c>
      <c r="F258" s="11">
        <v>44123</v>
      </c>
      <c r="G258" s="12" t="s">
        <v>1388</v>
      </c>
      <c r="H258" s="12" t="s">
        <v>1364</v>
      </c>
      <c r="I258" s="8" t="s">
        <v>13</v>
      </c>
    </row>
    <row r="259" spans="1:9" ht="51">
      <c r="A259" s="12" t="s">
        <v>1292</v>
      </c>
      <c r="B259" s="8">
        <v>2020</v>
      </c>
      <c r="C259" s="12" t="s">
        <v>1331</v>
      </c>
      <c r="D259" s="9">
        <f>900*1.21</f>
        <v>1089</v>
      </c>
      <c r="E259" s="14">
        <v>44130</v>
      </c>
      <c r="F259" s="11">
        <v>44104</v>
      </c>
      <c r="G259" s="12" t="s">
        <v>1389</v>
      </c>
      <c r="H259" s="12" t="s">
        <v>327</v>
      </c>
      <c r="I259" s="8" t="s">
        <v>13</v>
      </c>
    </row>
    <row r="260" spans="1:9" ht="25.5">
      <c r="A260" s="12" t="s">
        <v>1293</v>
      </c>
      <c r="B260" s="8">
        <v>2020</v>
      </c>
      <c r="C260" s="12" t="s">
        <v>1332</v>
      </c>
      <c r="D260" s="9">
        <f>1854.35*1.21</f>
        <v>2243.7635</v>
      </c>
      <c r="E260" s="14">
        <v>44123</v>
      </c>
      <c r="F260" s="11">
        <v>44507</v>
      </c>
      <c r="G260" s="12" t="s">
        <v>1390</v>
      </c>
      <c r="H260" s="12" t="s">
        <v>1365</v>
      </c>
      <c r="I260" s="8" t="s">
        <v>13</v>
      </c>
    </row>
    <row r="261" spans="1:9" ht="51">
      <c r="A261" s="12" t="s">
        <v>1294</v>
      </c>
      <c r="B261" s="8">
        <v>2020</v>
      </c>
      <c r="C261" s="12" t="s">
        <v>1333</v>
      </c>
      <c r="D261" s="9">
        <f>592.77*1.21</f>
        <v>717.25169999999991</v>
      </c>
      <c r="E261" s="14">
        <v>44103</v>
      </c>
      <c r="F261" s="11">
        <v>44103</v>
      </c>
      <c r="G261" s="12" t="s">
        <v>1391</v>
      </c>
      <c r="H261" s="12" t="s">
        <v>1366</v>
      </c>
      <c r="I261" s="8" t="s">
        <v>13</v>
      </c>
    </row>
    <row r="262" spans="1:9" ht="25.5">
      <c r="A262" s="12" t="s">
        <v>1295</v>
      </c>
      <c r="B262" s="8">
        <v>2020</v>
      </c>
      <c r="C262" s="12" t="s">
        <v>1334</v>
      </c>
      <c r="D262" s="9">
        <f>730*1.21</f>
        <v>883.3</v>
      </c>
      <c r="E262" s="14">
        <v>44131</v>
      </c>
      <c r="F262" s="11">
        <f>E262+10</f>
        <v>44141</v>
      </c>
      <c r="G262" s="12" t="s">
        <v>1392</v>
      </c>
      <c r="H262" s="12" t="s">
        <v>314</v>
      </c>
      <c r="I262" s="8" t="s">
        <v>13</v>
      </c>
    </row>
    <row r="263" spans="1:9" ht="25.5">
      <c r="A263" s="12" t="s">
        <v>1296</v>
      </c>
      <c r="B263" s="8">
        <v>2020</v>
      </c>
      <c r="C263" s="12" t="s">
        <v>1335</v>
      </c>
      <c r="D263" s="9">
        <f>840*1.21</f>
        <v>1016.4</v>
      </c>
      <c r="E263" s="14">
        <v>44106</v>
      </c>
      <c r="F263" s="11">
        <v>44106</v>
      </c>
      <c r="G263" s="12" t="s">
        <v>1393</v>
      </c>
      <c r="H263" s="12" t="s">
        <v>1367</v>
      </c>
      <c r="I263" s="8" t="s">
        <v>13</v>
      </c>
    </row>
    <row r="264" spans="1:9">
      <c r="A264" s="12" t="s">
        <v>1297</v>
      </c>
      <c r="B264" s="8">
        <v>2020</v>
      </c>
      <c r="C264" s="12" t="s">
        <v>1336</v>
      </c>
      <c r="D264" s="16">
        <f>396.69*1.21</f>
        <v>479.99489999999997</v>
      </c>
      <c r="E264" s="14">
        <v>44103</v>
      </c>
      <c r="F264" s="11">
        <v>44165</v>
      </c>
      <c r="G264" s="12" t="s">
        <v>1394</v>
      </c>
      <c r="H264" s="12" t="s">
        <v>1368</v>
      </c>
      <c r="I264" s="8" t="s">
        <v>13</v>
      </c>
    </row>
    <row r="265" spans="1:9" ht="25.5">
      <c r="A265" s="12" t="s">
        <v>1298</v>
      </c>
      <c r="B265" s="8">
        <v>2020</v>
      </c>
      <c r="C265" s="12" t="s">
        <v>1337</v>
      </c>
      <c r="D265" s="9">
        <f>2280.78*1.21</f>
        <v>2759.7438000000002</v>
      </c>
      <c r="E265" s="14">
        <v>44104</v>
      </c>
      <c r="F265" s="11">
        <f>E265+365</f>
        <v>44469</v>
      </c>
      <c r="G265" s="12" t="s">
        <v>1395</v>
      </c>
      <c r="H265" s="12" t="s">
        <v>323</v>
      </c>
      <c r="I265" s="8" t="s">
        <v>13</v>
      </c>
    </row>
    <row r="266" spans="1:9">
      <c r="A266" s="12" t="s">
        <v>1299</v>
      </c>
      <c r="B266" s="8">
        <v>2020</v>
      </c>
      <c r="C266" s="12" t="s">
        <v>1338</v>
      </c>
      <c r="D266" s="9">
        <f>1708.79*1.21</f>
        <v>2067.6358999999998</v>
      </c>
      <c r="E266" s="14">
        <v>44139</v>
      </c>
      <c r="F266" s="11">
        <f>E266+60</f>
        <v>44199</v>
      </c>
      <c r="G266" s="12" t="s">
        <v>1396</v>
      </c>
      <c r="H266" s="12" t="s">
        <v>1369</v>
      </c>
      <c r="I266" s="8" t="s">
        <v>13</v>
      </c>
    </row>
    <row r="267" spans="1:9" ht="25.5">
      <c r="A267" s="12" t="s">
        <v>1300</v>
      </c>
      <c r="B267" s="8">
        <v>2020</v>
      </c>
      <c r="C267" s="12" t="s">
        <v>1339</v>
      </c>
      <c r="D267" s="9">
        <f>3600*1.21</f>
        <v>4356</v>
      </c>
      <c r="E267" s="14">
        <v>44138</v>
      </c>
      <c r="F267" s="11">
        <f>E267+60</f>
        <v>44198</v>
      </c>
      <c r="G267" s="12" t="s">
        <v>1397</v>
      </c>
      <c r="H267" s="12" t="s">
        <v>1370</v>
      </c>
      <c r="I267" s="8" t="s">
        <v>13</v>
      </c>
    </row>
    <row r="268" spans="1:9">
      <c r="A268" s="12" t="s">
        <v>1301</v>
      </c>
      <c r="B268" s="8">
        <v>2020</v>
      </c>
      <c r="C268" s="12" t="s">
        <v>1416</v>
      </c>
      <c r="D268" s="9">
        <f>1112.82*1.21</f>
        <v>1346.5121999999999</v>
      </c>
      <c r="E268" s="14">
        <v>44153</v>
      </c>
      <c r="F268" s="11">
        <f>E268+7</f>
        <v>44160</v>
      </c>
      <c r="G268" s="12" t="s">
        <v>1398</v>
      </c>
      <c r="H268" s="12" t="s">
        <v>1226</v>
      </c>
      <c r="I268" s="8" t="s">
        <v>13</v>
      </c>
    </row>
    <row r="269" spans="1:9" ht="25.5">
      <c r="A269" s="12" t="s">
        <v>1302</v>
      </c>
      <c r="B269" s="8">
        <v>2020</v>
      </c>
      <c r="C269" s="12" t="s">
        <v>1340</v>
      </c>
      <c r="D269" s="9">
        <f>130.5*1.21</f>
        <v>157.905</v>
      </c>
      <c r="E269" s="14">
        <v>44103</v>
      </c>
      <c r="F269" s="11">
        <v>37545</v>
      </c>
      <c r="G269" s="12" t="s">
        <v>485</v>
      </c>
      <c r="H269" s="12" t="s">
        <v>337</v>
      </c>
      <c r="I269" s="8" t="s">
        <v>13</v>
      </c>
    </row>
    <row r="270" spans="1:9">
      <c r="A270" s="12" t="s">
        <v>1303</v>
      </c>
      <c r="B270" s="8">
        <v>2020</v>
      </c>
      <c r="C270" s="12" t="s">
        <v>1341</v>
      </c>
      <c r="D270" s="9">
        <f>112*1.21</f>
        <v>135.51999999999998</v>
      </c>
      <c r="E270" s="14">
        <v>44124</v>
      </c>
      <c r="F270" s="11">
        <v>44124</v>
      </c>
      <c r="G270" s="12" t="s">
        <v>408</v>
      </c>
      <c r="H270" s="12" t="s">
        <v>334</v>
      </c>
      <c r="I270" s="8" t="s">
        <v>13</v>
      </c>
    </row>
    <row r="271" spans="1:9" ht="25.5">
      <c r="A271" s="12" t="s">
        <v>1304</v>
      </c>
      <c r="B271" s="8">
        <v>2020</v>
      </c>
      <c r="C271" s="12" t="s">
        <v>1341</v>
      </c>
      <c r="D271" s="9">
        <f>67.5*1.21</f>
        <v>81.674999999999997</v>
      </c>
      <c r="E271" s="14">
        <v>44103</v>
      </c>
      <c r="F271" s="11">
        <v>44106</v>
      </c>
      <c r="G271" s="12" t="s">
        <v>1399</v>
      </c>
      <c r="H271" s="12" t="s">
        <v>502</v>
      </c>
      <c r="I271" s="8" t="s">
        <v>13</v>
      </c>
    </row>
    <row r="272" spans="1:9">
      <c r="A272" s="12" t="s">
        <v>1305</v>
      </c>
      <c r="B272" s="8">
        <v>2020</v>
      </c>
      <c r="C272" s="12" t="s">
        <v>1342</v>
      </c>
      <c r="D272" s="9">
        <f>754.66*1.21</f>
        <v>913.13859999999988</v>
      </c>
      <c r="E272" s="14">
        <v>44124</v>
      </c>
      <c r="F272" s="11">
        <v>44143</v>
      </c>
      <c r="G272" s="12" t="s">
        <v>1400</v>
      </c>
      <c r="H272" s="12" t="s">
        <v>349</v>
      </c>
      <c r="I272" s="8" t="s">
        <v>13</v>
      </c>
    </row>
    <row r="273" spans="1:9">
      <c r="A273" s="12" t="s">
        <v>1306</v>
      </c>
      <c r="B273" s="8">
        <v>2020</v>
      </c>
      <c r="C273" s="12" t="s">
        <v>1343</v>
      </c>
      <c r="D273" s="9">
        <f>9743*1.21</f>
        <v>11789.029999999999</v>
      </c>
      <c r="E273" s="14">
        <v>44144</v>
      </c>
      <c r="F273" s="11">
        <f>E273+180</f>
        <v>44324</v>
      </c>
      <c r="G273" s="12" t="s">
        <v>1401</v>
      </c>
      <c r="H273" s="12" t="s">
        <v>814</v>
      </c>
      <c r="I273" s="8" t="s">
        <v>13</v>
      </c>
    </row>
    <row r="274" spans="1:9" s="3" customFormat="1">
      <c r="A274" s="12" t="s">
        <v>1307</v>
      </c>
      <c r="B274" s="8">
        <v>2020</v>
      </c>
      <c r="C274" s="12" t="s">
        <v>1344</v>
      </c>
      <c r="D274" s="9">
        <f>2000*1.21</f>
        <v>2420</v>
      </c>
      <c r="E274" s="14">
        <v>44110</v>
      </c>
      <c r="F274" s="11">
        <v>44165</v>
      </c>
      <c r="G274" s="12" t="s">
        <v>1402</v>
      </c>
      <c r="H274" s="12" t="s">
        <v>1224</v>
      </c>
      <c r="I274" s="8" t="s">
        <v>13</v>
      </c>
    </row>
    <row r="275" spans="1:9" ht="25.5">
      <c r="A275" s="12" t="s">
        <v>1308</v>
      </c>
      <c r="B275" s="8">
        <v>2020</v>
      </c>
      <c r="C275" s="12" t="s">
        <v>1345</v>
      </c>
      <c r="D275" s="9">
        <f>3705.84*1.21</f>
        <v>4484.0663999999997</v>
      </c>
      <c r="E275" s="14">
        <v>44182</v>
      </c>
      <c r="F275" s="11">
        <f>E275+90</f>
        <v>44272</v>
      </c>
      <c r="G275" s="12" t="s">
        <v>1403</v>
      </c>
      <c r="H275" s="12" t="s">
        <v>1371</v>
      </c>
      <c r="I275" s="8" t="s">
        <v>13</v>
      </c>
    </row>
    <row r="276" spans="1:9" ht="25.5">
      <c r="A276" s="12" t="s">
        <v>1309</v>
      </c>
      <c r="B276" s="8">
        <v>2020</v>
      </c>
      <c r="C276" s="12" t="s">
        <v>1346</v>
      </c>
      <c r="D276" s="9">
        <f>133*1.21</f>
        <v>160.93</v>
      </c>
      <c r="E276" s="14">
        <v>44114</v>
      </c>
      <c r="F276" s="11">
        <f>E276+270</f>
        <v>44384</v>
      </c>
      <c r="G276" s="12" t="s">
        <v>1384</v>
      </c>
      <c r="H276" s="12" t="s">
        <v>1362</v>
      </c>
      <c r="I276" s="8" t="s">
        <v>13</v>
      </c>
    </row>
    <row r="277" spans="1:9" ht="25.5">
      <c r="A277" s="12" t="s">
        <v>1310</v>
      </c>
      <c r="B277" s="8">
        <v>2020</v>
      </c>
      <c r="C277" s="12" t="s">
        <v>1347</v>
      </c>
      <c r="D277" s="16">
        <f>208.26*1.21</f>
        <v>251.99459999999999</v>
      </c>
      <c r="E277" s="14">
        <v>44109</v>
      </c>
      <c r="F277" s="11">
        <v>44196</v>
      </c>
      <c r="G277" s="12" t="s">
        <v>1404</v>
      </c>
      <c r="H277" s="12" t="s">
        <v>498</v>
      </c>
      <c r="I277" s="8" t="s">
        <v>13</v>
      </c>
    </row>
    <row r="278" spans="1:9" ht="38.25">
      <c r="A278" s="12" t="s">
        <v>1311</v>
      </c>
      <c r="B278" s="8">
        <v>2020</v>
      </c>
      <c r="C278" s="12" t="s">
        <v>1348</v>
      </c>
      <c r="D278" s="9">
        <f>3564*1.21</f>
        <v>4312.4399999999996</v>
      </c>
      <c r="E278" s="14">
        <v>44117</v>
      </c>
      <c r="F278" s="11">
        <v>44298</v>
      </c>
      <c r="G278" s="12" t="s">
        <v>1405</v>
      </c>
      <c r="H278" s="12" t="s">
        <v>330</v>
      </c>
      <c r="I278" s="8" t="s">
        <v>13</v>
      </c>
    </row>
    <row r="279" spans="1:9">
      <c r="A279" s="12" t="s">
        <v>1312</v>
      </c>
      <c r="B279" s="8">
        <v>2020</v>
      </c>
      <c r="C279" s="12" t="s">
        <v>1349</v>
      </c>
      <c r="D279" s="9">
        <f>1385.24*1.21</f>
        <v>1676.1404</v>
      </c>
      <c r="E279" s="14">
        <v>44175</v>
      </c>
      <c r="F279" s="11">
        <f>E279+90</f>
        <v>44265</v>
      </c>
      <c r="G279" s="12" t="s">
        <v>1406</v>
      </c>
      <c r="H279" s="12" t="s">
        <v>1372</v>
      </c>
      <c r="I279" s="8" t="s">
        <v>13</v>
      </c>
    </row>
    <row r="280" spans="1:9" ht="51">
      <c r="A280" s="12" t="s">
        <v>1313</v>
      </c>
      <c r="B280" s="8">
        <v>2020</v>
      </c>
      <c r="C280" s="12" t="s">
        <v>1350</v>
      </c>
      <c r="D280" s="9">
        <f>9416.67*1.21</f>
        <v>11394.170700000001</v>
      </c>
      <c r="E280" s="14">
        <v>44106</v>
      </c>
      <c r="F280" s="11">
        <v>44196</v>
      </c>
      <c r="G280" s="12" t="s">
        <v>1407</v>
      </c>
      <c r="H280" s="12" t="s">
        <v>506</v>
      </c>
      <c r="I280" s="8" t="s">
        <v>13</v>
      </c>
    </row>
    <row r="281" spans="1:9" ht="25.5">
      <c r="A281" s="12" t="s">
        <v>1314</v>
      </c>
      <c r="B281" s="8">
        <v>2020</v>
      </c>
      <c r="C281" s="12" t="s">
        <v>1351</v>
      </c>
      <c r="D281" s="9">
        <f>2015*1.21</f>
        <v>2438.15</v>
      </c>
      <c r="E281" s="14">
        <v>44114</v>
      </c>
      <c r="F281" s="11">
        <f>E281+15</f>
        <v>44129</v>
      </c>
      <c r="G281" s="12" t="s">
        <v>1408</v>
      </c>
      <c r="H281" s="12" t="s">
        <v>1373</v>
      </c>
      <c r="I281" s="8" t="s">
        <v>13</v>
      </c>
    </row>
    <row r="282" spans="1:9" ht="25.5">
      <c r="A282" s="12" t="s">
        <v>1315</v>
      </c>
      <c r="B282" s="8">
        <v>2020</v>
      </c>
      <c r="C282" s="12" t="s">
        <v>1352</v>
      </c>
      <c r="D282" s="9">
        <f>683.99*1.21</f>
        <v>827.62789999999995</v>
      </c>
      <c r="E282" s="14">
        <v>44123</v>
      </c>
      <c r="F282" s="11">
        <v>44196</v>
      </c>
      <c r="G282" s="12" t="s">
        <v>796</v>
      </c>
      <c r="H282" s="12" t="s">
        <v>780</v>
      </c>
      <c r="I282" s="8" t="s">
        <v>13</v>
      </c>
    </row>
    <row r="283" spans="1:9">
      <c r="A283" s="12" t="s">
        <v>1316</v>
      </c>
      <c r="B283" s="8">
        <v>2020</v>
      </c>
      <c r="C283" s="12" t="s">
        <v>1353</v>
      </c>
      <c r="D283" s="9">
        <f>540*1.21</f>
        <v>653.4</v>
      </c>
      <c r="E283" s="14">
        <v>44166</v>
      </c>
      <c r="F283" s="11">
        <f>E283+30</f>
        <v>44196</v>
      </c>
      <c r="G283" s="12" t="s">
        <v>1409</v>
      </c>
      <c r="H283" s="12" t="s">
        <v>1374</v>
      </c>
      <c r="I283" s="8" t="s">
        <v>13</v>
      </c>
    </row>
    <row r="284" spans="1:9" ht="25.5">
      <c r="A284" s="12" t="s">
        <v>1317</v>
      </c>
      <c r="B284" s="8">
        <v>2020</v>
      </c>
      <c r="C284" s="12" t="s">
        <v>1354</v>
      </c>
      <c r="D284" s="9">
        <f>999.62*1.21</f>
        <v>1209.5401999999999</v>
      </c>
      <c r="E284" s="14">
        <v>44188</v>
      </c>
      <c r="F284" s="11">
        <f>E284+30</f>
        <v>44218</v>
      </c>
      <c r="G284" s="12" t="s">
        <v>1410</v>
      </c>
      <c r="H284" s="12" t="s">
        <v>1375</v>
      </c>
      <c r="I284" s="8" t="s">
        <v>13</v>
      </c>
    </row>
    <row r="285" spans="1:9" ht="25.5">
      <c r="A285" s="12" t="s">
        <v>1318</v>
      </c>
      <c r="B285" s="8">
        <v>2020</v>
      </c>
      <c r="C285" s="12" t="s">
        <v>1355</v>
      </c>
      <c r="D285" s="9">
        <v>195</v>
      </c>
      <c r="E285" s="14">
        <v>44112</v>
      </c>
      <c r="F285" s="11">
        <v>44196</v>
      </c>
      <c r="G285" s="12" t="s">
        <v>1411</v>
      </c>
      <c r="H285" s="12" t="s">
        <v>1376</v>
      </c>
      <c r="I285" s="8" t="s">
        <v>13</v>
      </c>
    </row>
    <row r="286" spans="1:9" ht="25.5">
      <c r="A286" s="12" t="s">
        <v>1319</v>
      </c>
      <c r="B286" s="8">
        <v>2020</v>
      </c>
      <c r="C286" s="12" t="s">
        <v>1356</v>
      </c>
      <c r="D286" s="9">
        <f>1319*1.21</f>
        <v>1595.99</v>
      </c>
      <c r="E286" s="14">
        <v>44114</v>
      </c>
      <c r="F286" s="11">
        <f>E286+15</f>
        <v>44129</v>
      </c>
      <c r="G286" s="12" t="s">
        <v>1412</v>
      </c>
      <c r="H286" s="12" t="s">
        <v>1417</v>
      </c>
      <c r="I286" s="8" t="s">
        <v>13</v>
      </c>
    </row>
    <row r="287" spans="1:9" ht="25.5">
      <c r="A287" s="12" t="s">
        <v>1320</v>
      </c>
      <c r="B287" s="8">
        <v>2020</v>
      </c>
      <c r="C287" s="12" t="s">
        <v>1418</v>
      </c>
      <c r="D287" s="9">
        <f>681.83*1.21</f>
        <v>825.01430000000005</v>
      </c>
      <c r="E287" s="14">
        <v>44110</v>
      </c>
      <c r="F287" s="11">
        <f>E287+20</f>
        <v>44130</v>
      </c>
      <c r="G287" s="12" t="s">
        <v>1413</v>
      </c>
      <c r="H287" s="12" t="s">
        <v>1377</v>
      </c>
      <c r="I287" s="8" t="s">
        <v>13</v>
      </c>
    </row>
    <row r="288" spans="1:9" ht="25.5">
      <c r="A288" s="12" t="s">
        <v>1321</v>
      </c>
      <c r="B288" s="8">
        <v>2020</v>
      </c>
      <c r="C288" s="12" t="s">
        <v>1357</v>
      </c>
      <c r="D288" s="9">
        <f>170*1.21</f>
        <v>205.7</v>
      </c>
      <c r="E288" s="14">
        <v>44112</v>
      </c>
      <c r="F288" s="11">
        <v>44196</v>
      </c>
      <c r="G288" s="12" t="s">
        <v>1414</v>
      </c>
      <c r="H288" s="12" t="s">
        <v>1378</v>
      </c>
      <c r="I288" s="8" t="s">
        <v>13</v>
      </c>
    </row>
    <row r="289" spans="1:9" ht="25.5">
      <c r="A289" s="12" t="s">
        <v>1419</v>
      </c>
      <c r="B289" s="8">
        <v>2020</v>
      </c>
      <c r="C289" s="12" t="s">
        <v>1431</v>
      </c>
      <c r="D289" s="9">
        <f>500*1.21</f>
        <v>605</v>
      </c>
      <c r="E289" s="14">
        <v>44112</v>
      </c>
      <c r="F289" s="11">
        <f>E289+42</f>
        <v>44154</v>
      </c>
      <c r="G289" s="12" t="s">
        <v>1451</v>
      </c>
      <c r="H289" s="12" t="s">
        <v>1443</v>
      </c>
      <c r="I289" s="8" t="s">
        <v>13</v>
      </c>
    </row>
    <row r="290" spans="1:9">
      <c r="A290" s="12" t="s">
        <v>1420</v>
      </c>
      <c r="B290" s="8">
        <v>2020</v>
      </c>
      <c r="C290" s="12" t="s">
        <v>1432</v>
      </c>
      <c r="D290" s="9">
        <f>2247.44*1.21</f>
        <v>2719.4023999999999</v>
      </c>
      <c r="E290" s="14">
        <v>44145</v>
      </c>
      <c r="F290" s="11">
        <f>E290+30</f>
        <v>44175</v>
      </c>
      <c r="G290" s="12" t="s">
        <v>1452</v>
      </c>
      <c r="H290" s="12" t="s">
        <v>308</v>
      </c>
      <c r="I290" s="8" t="s">
        <v>13</v>
      </c>
    </row>
    <row r="291" spans="1:9" ht="25.5">
      <c r="A291" s="12" t="s">
        <v>1421</v>
      </c>
      <c r="B291" s="8">
        <v>2020</v>
      </c>
      <c r="C291" s="12" t="s">
        <v>1433</v>
      </c>
      <c r="D291" s="9">
        <f>2286.96*1.21</f>
        <v>2767.2215999999999</v>
      </c>
      <c r="E291" s="14">
        <v>44141</v>
      </c>
      <c r="F291" s="11">
        <f>E291+30</f>
        <v>44171</v>
      </c>
      <c r="G291" s="12" t="s">
        <v>1453</v>
      </c>
      <c r="H291" s="12">
        <v>63864581</v>
      </c>
      <c r="I291" s="8" t="s">
        <v>13</v>
      </c>
    </row>
    <row r="292" spans="1:9" ht="25.5">
      <c r="A292" s="12" t="s">
        <v>1422</v>
      </c>
      <c r="B292" s="8">
        <v>2020</v>
      </c>
      <c r="C292" s="12" t="s">
        <v>1434</v>
      </c>
      <c r="D292" s="9">
        <v>280</v>
      </c>
      <c r="E292" s="14">
        <v>44123</v>
      </c>
      <c r="F292" s="11">
        <v>44196</v>
      </c>
      <c r="G292" s="12" t="s">
        <v>1454</v>
      </c>
      <c r="H292" s="12" t="s">
        <v>1444</v>
      </c>
      <c r="I292" s="8" t="s">
        <v>13</v>
      </c>
    </row>
    <row r="293" spans="1:9" ht="25.5">
      <c r="A293" s="12" t="s">
        <v>1423</v>
      </c>
      <c r="B293" s="8">
        <v>2020</v>
      </c>
      <c r="C293" s="12" t="s">
        <v>1435</v>
      </c>
      <c r="D293" s="9">
        <f>3148.8*1.21</f>
        <v>3810.0480000000002</v>
      </c>
      <c r="E293" s="14">
        <v>44165</v>
      </c>
      <c r="F293" s="11">
        <f>E293+180</f>
        <v>44345</v>
      </c>
      <c r="G293" s="12" t="s">
        <v>1455</v>
      </c>
      <c r="H293" s="12" t="s">
        <v>549</v>
      </c>
      <c r="I293" s="8" t="s">
        <v>13</v>
      </c>
    </row>
    <row r="294" spans="1:9" ht="25.5">
      <c r="A294" s="12" t="s">
        <v>1424</v>
      </c>
      <c r="B294" s="8">
        <v>2020</v>
      </c>
      <c r="C294" s="12" t="s">
        <v>1436</v>
      </c>
      <c r="D294" s="9">
        <f>1239.66*1.21</f>
        <v>1499.9886000000001</v>
      </c>
      <c r="E294" s="14">
        <v>44167</v>
      </c>
      <c r="F294" s="11">
        <v>44196</v>
      </c>
      <c r="G294" s="12" t="s">
        <v>1456</v>
      </c>
      <c r="H294" s="12" t="s">
        <v>1445</v>
      </c>
      <c r="I294" s="8" t="s">
        <v>13</v>
      </c>
    </row>
    <row r="295" spans="1:9" ht="25.5">
      <c r="A295" s="12" t="s">
        <v>1425</v>
      </c>
      <c r="B295" s="8">
        <v>2020</v>
      </c>
      <c r="C295" s="12" t="s">
        <v>1437</v>
      </c>
      <c r="D295" s="9">
        <f>2750.84*1.21</f>
        <v>3328.5164</v>
      </c>
      <c r="E295" s="14">
        <v>44114</v>
      </c>
      <c r="F295" s="11">
        <f>E295+42</f>
        <v>44156</v>
      </c>
      <c r="G295" s="12" t="s">
        <v>1457</v>
      </c>
      <c r="H295" s="12" t="s">
        <v>1446</v>
      </c>
      <c r="I295" s="8" t="s">
        <v>13</v>
      </c>
    </row>
    <row r="296" spans="1:9" ht="25.5">
      <c r="A296" s="12" t="s">
        <v>1426</v>
      </c>
      <c r="B296" s="8">
        <v>2020</v>
      </c>
      <c r="C296" s="12" t="s">
        <v>1438</v>
      </c>
      <c r="D296" s="9">
        <f>2446.49*1.21</f>
        <v>2960.2528999999995</v>
      </c>
      <c r="E296" s="14">
        <v>44134</v>
      </c>
      <c r="F296" s="11">
        <v>44408</v>
      </c>
      <c r="G296" s="12" t="s">
        <v>1458</v>
      </c>
      <c r="H296" s="12" t="s">
        <v>1447</v>
      </c>
      <c r="I296" s="8" t="s">
        <v>13</v>
      </c>
    </row>
    <row r="297" spans="1:9" ht="25.5">
      <c r="A297" s="12" t="s">
        <v>1427</v>
      </c>
      <c r="B297" s="8">
        <v>2020</v>
      </c>
      <c r="C297" s="12" t="s">
        <v>1439</v>
      </c>
      <c r="D297" s="9">
        <f>164*1.21</f>
        <v>198.44</v>
      </c>
      <c r="E297" s="14">
        <v>44123</v>
      </c>
      <c r="F297" s="11">
        <v>44196</v>
      </c>
      <c r="G297" s="12" t="s">
        <v>1459</v>
      </c>
      <c r="H297" s="12" t="s">
        <v>1448</v>
      </c>
      <c r="I297" s="8" t="s">
        <v>13</v>
      </c>
    </row>
    <row r="298" spans="1:9">
      <c r="A298" s="12" t="s">
        <v>1428</v>
      </c>
      <c r="B298" s="8">
        <v>2020</v>
      </c>
      <c r="C298" s="12" t="s">
        <v>1440</v>
      </c>
      <c r="D298" s="9">
        <f>2479.33*1.21</f>
        <v>2999.9892999999997</v>
      </c>
      <c r="E298" s="14">
        <v>44119</v>
      </c>
      <c r="F298" s="11">
        <f>E298+30</f>
        <v>44149</v>
      </c>
      <c r="G298" s="12" t="s">
        <v>1460</v>
      </c>
      <c r="H298" s="12" t="s">
        <v>1449</v>
      </c>
      <c r="I298" s="8" t="s">
        <v>13</v>
      </c>
    </row>
    <row r="299" spans="1:9">
      <c r="A299" s="12" t="s">
        <v>1429</v>
      </c>
      <c r="B299" s="8">
        <v>2020</v>
      </c>
      <c r="C299" s="12" t="s">
        <v>1441</v>
      </c>
      <c r="D299" s="9">
        <f>6990.9*1.21</f>
        <v>8458.9889999999996</v>
      </c>
      <c r="E299" s="14">
        <v>44127</v>
      </c>
      <c r="F299" s="11">
        <v>44196</v>
      </c>
      <c r="G299" s="12" t="s">
        <v>1461</v>
      </c>
      <c r="H299" s="12" t="s">
        <v>301</v>
      </c>
      <c r="I299" s="8" t="s">
        <v>13</v>
      </c>
    </row>
    <row r="300" spans="1:9">
      <c r="A300" s="12" t="s">
        <v>1430</v>
      </c>
      <c r="B300" s="8">
        <v>2020</v>
      </c>
      <c r="C300" s="12" t="s">
        <v>1442</v>
      </c>
      <c r="D300" s="9">
        <f>9573.2*1.21</f>
        <v>11583.572</v>
      </c>
      <c r="E300" s="14">
        <v>44138</v>
      </c>
      <c r="F300" s="11">
        <f>E300+112</f>
        <v>44250</v>
      </c>
      <c r="G300" s="12" t="s">
        <v>1462</v>
      </c>
      <c r="H300" s="12" t="s">
        <v>1450</v>
      </c>
      <c r="I300" s="8" t="s">
        <v>13</v>
      </c>
    </row>
    <row r="301" spans="1:9" ht="25.5">
      <c r="A301" s="12" t="s">
        <v>1463</v>
      </c>
      <c r="B301" s="8">
        <v>2020</v>
      </c>
      <c r="C301" s="12" t="s">
        <v>1473</v>
      </c>
      <c r="D301" s="9">
        <f>290*1.21</f>
        <v>350.9</v>
      </c>
      <c r="E301" s="14">
        <v>44126</v>
      </c>
      <c r="F301" s="11">
        <f>E301+90</f>
        <v>44216</v>
      </c>
      <c r="G301" s="12" t="s">
        <v>1490</v>
      </c>
      <c r="H301" s="12" t="s">
        <v>1483</v>
      </c>
      <c r="I301" s="8" t="s">
        <v>13</v>
      </c>
    </row>
    <row r="302" spans="1:9">
      <c r="A302" s="12" t="s">
        <v>1464</v>
      </c>
      <c r="B302" s="8">
        <v>2020</v>
      </c>
      <c r="C302" s="12" t="s">
        <v>1474</v>
      </c>
      <c r="D302" s="9">
        <f>4268.31*1.21</f>
        <v>5164.6550999999999</v>
      </c>
      <c r="E302" s="14">
        <v>44155</v>
      </c>
      <c r="F302" s="11">
        <f>E302+30</f>
        <v>44185</v>
      </c>
      <c r="G302" s="12" t="s">
        <v>1491</v>
      </c>
      <c r="H302" s="12" t="s">
        <v>1258</v>
      </c>
      <c r="I302" s="8" t="s">
        <v>13</v>
      </c>
    </row>
    <row r="303" spans="1:9">
      <c r="A303" s="12" t="s">
        <v>1465</v>
      </c>
      <c r="B303" s="8">
        <v>2020</v>
      </c>
      <c r="C303" s="12" t="s">
        <v>1475</v>
      </c>
      <c r="D303" s="9">
        <f>7000*1.21</f>
        <v>8470</v>
      </c>
      <c r="E303" s="14">
        <v>44126</v>
      </c>
      <c r="F303" s="11">
        <v>44136</v>
      </c>
      <c r="G303" s="12" t="s">
        <v>1492</v>
      </c>
      <c r="H303" s="12" t="s">
        <v>1484</v>
      </c>
      <c r="I303" s="8" t="s">
        <v>13</v>
      </c>
    </row>
    <row r="304" spans="1:9">
      <c r="A304" s="12" t="s">
        <v>1466</v>
      </c>
      <c r="B304" s="8">
        <v>2020</v>
      </c>
      <c r="C304" s="12" t="s">
        <v>1476</v>
      </c>
      <c r="D304" s="9">
        <f>1028.29*1.21</f>
        <v>1244.2309</v>
      </c>
      <c r="E304" s="14">
        <v>44130</v>
      </c>
      <c r="F304" s="11">
        <v>44130</v>
      </c>
      <c r="G304" s="12" t="s">
        <v>1493</v>
      </c>
      <c r="H304" s="12" t="s">
        <v>323</v>
      </c>
      <c r="I304" s="8" t="s">
        <v>13</v>
      </c>
    </row>
    <row r="305" spans="1:9" ht="25.5">
      <c r="A305" s="12" t="s">
        <v>1467</v>
      </c>
      <c r="B305" s="8">
        <v>2020</v>
      </c>
      <c r="C305" s="12" t="s">
        <v>1477</v>
      </c>
      <c r="D305" s="9">
        <f>102.4*1.21</f>
        <v>123.904</v>
      </c>
      <c r="E305" s="14">
        <v>44130</v>
      </c>
      <c r="F305" s="11">
        <f>E305+28</f>
        <v>44158</v>
      </c>
      <c r="G305" s="12" t="s">
        <v>1494</v>
      </c>
      <c r="H305" s="12" t="s">
        <v>1485</v>
      </c>
      <c r="I305" s="8" t="s">
        <v>13</v>
      </c>
    </row>
    <row r="306" spans="1:9" ht="25.5">
      <c r="A306" s="12" t="s">
        <v>1468</v>
      </c>
      <c r="B306" s="8">
        <v>2020</v>
      </c>
      <c r="C306" s="12" t="s">
        <v>1478</v>
      </c>
      <c r="D306" s="9">
        <f>331.85*1.21</f>
        <v>401.5385</v>
      </c>
      <c r="E306" s="14">
        <v>44145</v>
      </c>
      <c r="F306" s="11">
        <f>E306+20</f>
        <v>44165</v>
      </c>
      <c r="G306" s="12" t="s">
        <v>1495</v>
      </c>
      <c r="H306" s="12" t="s">
        <v>283</v>
      </c>
      <c r="I306" s="8" t="s">
        <v>13</v>
      </c>
    </row>
    <row r="307" spans="1:9">
      <c r="A307" s="12" t="s">
        <v>1469</v>
      </c>
      <c r="B307" s="8">
        <v>2020</v>
      </c>
      <c r="C307" s="12" t="s">
        <v>1479</v>
      </c>
      <c r="D307" s="9">
        <f>6800*1.21</f>
        <v>8228</v>
      </c>
      <c r="E307" s="14">
        <v>44146</v>
      </c>
      <c r="F307" s="11">
        <v>44186</v>
      </c>
      <c r="G307" s="12" t="s">
        <v>1496</v>
      </c>
      <c r="H307" s="12" t="s">
        <v>1486</v>
      </c>
      <c r="I307" s="8" t="s">
        <v>13</v>
      </c>
    </row>
    <row r="308" spans="1:9" ht="25.5">
      <c r="A308" s="12" t="s">
        <v>1470</v>
      </c>
      <c r="B308" s="8">
        <v>2020</v>
      </c>
      <c r="C308" s="12" t="s">
        <v>1480</v>
      </c>
      <c r="D308" s="9">
        <f>325*1.21</f>
        <v>393.25</v>
      </c>
      <c r="E308" s="14">
        <v>44138</v>
      </c>
      <c r="F308" s="11">
        <f>E308+90</f>
        <v>44228</v>
      </c>
      <c r="G308" s="12" t="s">
        <v>1497</v>
      </c>
      <c r="H308" s="12" t="s">
        <v>1487</v>
      </c>
      <c r="I308" s="8" t="s">
        <v>13</v>
      </c>
    </row>
    <row r="309" spans="1:9" ht="25.5">
      <c r="A309" s="12" t="s">
        <v>1471</v>
      </c>
      <c r="B309" s="8">
        <v>2020</v>
      </c>
      <c r="C309" s="12" t="s">
        <v>1481</v>
      </c>
      <c r="D309" s="9">
        <f>512*1.21</f>
        <v>619.52</v>
      </c>
      <c r="E309" s="14">
        <v>44134</v>
      </c>
      <c r="F309" s="11">
        <f>E309+7</f>
        <v>44141</v>
      </c>
      <c r="G309" s="12" t="s">
        <v>1498</v>
      </c>
      <c r="H309" s="12" t="s">
        <v>1488</v>
      </c>
      <c r="I309" s="8" t="s">
        <v>13</v>
      </c>
    </row>
    <row r="310" spans="1:9">
      <c r="A310" s="12" t="s">
        <v>1472</v>
      </c>
      <c r="B310" s="8">
        <v>2020</v>
      </c>
      <c r="C310" s="12" t="s">
        <v>1482</v>
      </c>
      <c r="D310" s="9">
        <f>343.41*1.21</f>
        <v>415.52610000000004</v>
      </c>
      <c r="E310" s="14">
        <v>44130</v>
      </c>
      <c r="F310" s="11">
        <v>44196</v>
      </c>
      <c r="G310" s="12" t="s">
        <v>1499</v>
      </c>
      <c r="H310" s="12" t="s">
        <v>1489</v>
      </c>
      <c r="I310" s="8" t="s">
        <v>13</v>
      </c>
    </row>
    <row r="311" spans="1:9" ht="25.5">
      <c r="A311" s="12" t="s">
        <v>1503</v>
      </c>
      <c r="B311" s="8">
        <v>2020</v>
      </c>
      <c r="C311" s="12" t="s">
        <v>1515</v>
      </c>
      <c r="D311" s="9">
        <f>1506.81*1.21</f>
        <v>1823.2401</v>
      </c>
      <c r="E311" s="14">
        <v>44134</v>
      </c>
      <c r="F311" s="11">
        <v>44196</v>
      </c>
      <c r="G311" s="12" t="s">
        <v>1526</v>
      </c>
      <c r="H311" s="12" t="s">
        <v>1538</v>
      </c>
      <c r="I311" s="8" t="s">
        <v>13</v>
      </c>
    </row>
    <row r="312" spans="1:9" ht="25.5">
      <c r="A312" s="12" t="s">
        <v>1504</v>
      </c>
      <c r="B312" s="8">
        <v>2020</v>
      </c>
      <c r="C312" s="12" t="s">
        <v>1516</v>
      </c>
      <c r="D312" s="9">
        <f>115*1.21</f>
        <v>139.15</v>
      </c>
      <c r="E312" s="14">
        <v>44134</v>
      </c>
      <c r="F312" s="11">
        <f>E312+20</f>
        <v>44154</v>
      </c>
      <c r="G312" s="12" t="s">
        <v>1527</v>
      </c>
      <c r="H312" s="12" t="s">
        <v>1539</v>
      </c>
      <c r="I312" s="8" t="s">
        <v>13</v>
      </c>
    </row>
    <row r="313" spans="1:9" ht="25.5">
      <c r="A313" s="12" t="s">
        <v>1505</v>
      </c>
      <c r="B313" s="8">
        <v>2020</v>
      </c>
      <c r="C313" s="12" t="s">
        <v>1517</v>
      </c>
      <c r="D313" s="9">
        <f>5533.48*1.21</f>
        <v>6695.5107999999991</v>
      </c>
      <c r="E313" s="14">
        <v>44148</v>
      </c>
      <c r="F313" s="11">
        <f>E313+30</f>
        <v>44178</v>
      </c>
      <c r="G313" s="12" t="s">
        <v>1528</v>
      </c>
      <c r="H313" s="12" t="s">
        <v>1540</v>
      </c>
      <c r="I313" s="8" t="s">
        <v>13</v>
      </c>
    </row>
    <row r="314" spans="1:9">
      <c r="A314" s="12" t="s">
        <v>1506</v>
      </c>
      <c r="B314" s="8">
        <v>2020</v>
      </c>
      <c r="C314" s="12" t="s">
        <v>1518</v>
      </c>
      <c r="D314" s="9">
        <f>400*1.21</f>
        <v>484</v>
      </c>
      <c r="E314" s="14">
        <v>44138</v>
      </c>
      <c r="F314" s="11">
        <v>44196</v>
      </c>
      <c r="G314" s="12" t="s">
        <v>1529</v>
      </c>
      <c r="H314" s="12" t="s">
        <v>1541</v>
      </c>
      <c r="I314" s="8" t="s">
        <v>13</v>
      </c>
    </row>
    <row r="315" spans="1:9" ht="25.5">
      <c r="A315" s="12" t="s">
        <v>1507</v>
      </c>
      <c r="B315" s="8">
        <v>2020</v>
      </c>
      <c r="C315" s="12" t="s">
        <v>1519</v>
      </c>
      <c r="D315" s="9">
        <f>1430*1.21</f>
        <v>1730.3</v>
      </c>
      <c r="E315" s="14">
        <v>44186</v>
      </c>
      <c r="F315" s="11">
        <f>E315+20</f>
        <v>44206</v>
      </c>
      <c r="G315" s="12" t="s">
        <v>1530</v>
      </c>
      <c r="H315" s="12" t="s">
        <v>1542</v>
      </c>
      <c r="I315" s="8" t="s">
        <v>13</v>
      </c>
    </row>
    <row r="316" spans="1:9">
      <c r="A316" s="12" t="s">
        <v>1508</v>
      </c>
      <c r="B316" s="8">
        <v>2020</v>
      </c>
      <c r="C316" s="12" t="s">
        <v>1520</v>
      </c>
      <c r="D316" s="9">
        <f>3460*1.21</f>
        <v>4186.5999999999995</v>
      </c>
      <c r="E316" s="14">
        <v>44130</v>
      </c>
      <c r="F316" s="11">
        <v>44196</v>
      </c>
      <c r="G316" s="12" t="s">
        <v>1531</v>
      </c>
      <c r="H316" s="12" t="s">
        <v>1543</v>
      </c>
      <c r="I316" s="8" t="s">
        <v>13</v>
      </c>
    </row>
    <row r="317" spans="1:9">
      <c r="A317" s="12" t="s">
        <v>1509</v>
      </c>
      <c r="B317" s="8">
        <v>2020</v>
      </c>
      <c r="C317" s="12" t="s">
        <v>1521</v>
      </c>
      <c r="D317" s="9">
        <f>2210*1.21</f>
        <v>2674.1</v>
      </c>
      <c r="E317" s="14">
        <v>44188</v>
      </c>
      <c r="F317" s="11">
        <f>E317+30</f>
        <v>44218</v>
      </c>
      <c r="G317" s="12" t="s">
        <v>1532</v>
      </c>
      <c r="H317" s="12" t="s">
        <v>1544</v>
      </c>
      <c r="I317" s="8" t="s">
        <v>13</v>
      </c>
    </row>
    <row r="318" spans="1:9" ht="25.5">
      <c r="A318" s="12" t="s">
        <v>1510</v>
      </c>
      <c r="B318" s="8">
        <v>2020</v>
      </c>
      <c r="C318" s="12" t="s">
        <v>1522</v>
      </c>
      <c r="D318" s="9">
        <f>5514.6*1.21</f>
        <v>6672.6660000000002</v>
      </c>
      <c r="E318" s="14">
        <v>44159</v>
      </c>
      <c r="F318" s="11">
        <f>E318+30</f>
        <v>44189</v>
      </c>
      <c r="G318" s="12" t="s">
        <v>1533</v>
      </c>
      <c r="H318" s="12" t="s">
        <v>1545</v>
      </c>
      <c r="I318" s="8" t="s">
        <v>13</v>
      </c>
    </row>
    <row r="319" spans="1:9">
      <c r="A319" s="12" t="s">
        <v>1511</v>
      </c>
      <c r="B319" s="8">
        <v>2020</v>
      </c>
      <c r="C319" s="12" t="s">
        <v>1550</v>
      </c>
      <c r="D319" s="9">
        <v>180</v>
      </c>
      <c r="E319" s="14">
        <v>44138</v>
      </c>
      <c r="F319" s="11"/>
      <c r="G319" s="12" t="s">
        <v>1534</v>
      </c>
      <c r="H319" s="12" t="s">
        <v>1546</v>
      </c>
      <c r="I319" s="8" t="s">
        <v>13</v>
      </c>
    </row>
    <row r="320" spans="1:9" ht="25.5">
      <c r="A320" s="12" t="s">
        <v>1512</v>
      </c>
      <c r="B320" s="8">
        <v>2020</v>
      </c>
      <c r="C320" s="12" t="s">
        <v>1523</v>
      </c>
      <c r="D320" s="9">
        <f>64.5*1.21</f>
        <v>78.045000000000002</v>
      </c>
      <c r="E320" s="14">
        <v>44133</v>
      </c>
      <c r="F320" s="11">
        <f>E320+90</f>
        <v>44223</v>
      </c>
      <c r="G320" s="12" t="s">
        <v>1535</v>
      </c>
      <c r="H320" s="12" t="s">
        <v>1547</v>
      </c>
      <c r="I320" s="8" t="s">
        <v>13</v>
      </c>
    </row>
    <row r="321" spans="1:9" ht="25.5">
      <c r="A321" s="12" t="s">
        <v>1513</v>
      </c>
      <c r="B321" s="8">
        <v>2020</v>
      </c>
      <c r="C321" s="12" t="s">
        <v>1524</v>
      </c>
      <c r="D321" s="9">
        <f>2850*1.21</f>
        <v>3448.5</v>
      </c>
      <c r="E321" s="14">
        <v>44131</v>
      </c>
      <c r="F321" s="11">
        <v>44196</v>
      </c>
      <c r="G321" s="12" t="s">
        <v>1536</v>
      </c>
      <c r="H321" s="12" t="s">
        <v>1548</v>
      </c>
      <c r="I321" s="8" t="s">
        <v>13</v>
      </c>
    </row>
    <row r="322" spans="1:9">
      <c r="A322" s="12" t="s">
        <v>1514</v>
      </c>
      <c r="B322" s="8">
        <v>2020</v>
      </c>
      <c r="C322" s="12" t="s">
        <v>1525</v>
      </c>
      <c r="D322" s="9">
        <f>55.7*1.21</f>
        <v>67.397000000000006</v>
      </c>
      <c r="E322" s="14">
        <v>44151</v>
      </c>
      <c r="F322" s="11">
        <v>44196</v>
      </c>
      <c r="G322" s="12" t="s">
        <v>1537</v>
      </c>
      <c r="H322" s="12" t="s">
        <v>1549</v>
      </c>
      <c r="I322" s="8" t="s">
        <v>13</v>
      </c>
    </row>
    <row r="323" spans="1:9" ht="38.25">
      <c r="A323" s="12" t="s">
        <v>1551</v>
      </c>
      <c r="B323" s="8">
        <v>2020</v>
      </c>
      <c r="C323" s="12" t="s">
        <v>1570</v>
      </c>
      <c r="D323" s="9">
        <v>2400</v>
      </c>
      <c r="E323" s="14">
        <v>44175</v>
      </c>
      <c r="F323" s="11">
        <v>44196</v>
      </c>
      <c r="G323" s="12" t="s">
        <v>1602</v>
      </c>
      <c r="H323" s="12" t="s">
        <v>1589</v>
      </c>
      <c r="I323" s="8" t="s">
        <v>13</v>
      </c>
    </row>
    <row r="324" spans="1:9" ht="25.5">
      <c r="A324" s="12" t="s">
        <v>1552</v>
      </c>
      <c r="B324" s="8">
        <v>2020</v>
      </c>
      <c r="C324" s="12" t="s">
        <v>1571</v>
      </c>
      <c r="D324" s="9">
        <f>2400*1.21</f>
        <v>2904</v>
      </c>
      <c r="E324" s="14">
        <v>44162</v>
      </c>
      <c r="F324" s="11">
        <f>E324+240</f>
        <v>44402</v>
      </c>
      <c r="G324" s="12" t="s">
        <v>1603</v>
      </c>
      <c r="H324" s="12" t="s">
        <v>1487</v>
      </c>
      <c r="I324" s="8" t="s">
        <v>13</v>
      </c>
    </row>
    <row r="325" spans="1:9" ht="38.25">
      <c r="A325" s="12" t="s">
        <v>1553</v>
      </c>
      <c r="B325" s="8">
        <v>2020</v>
      </c>
      <c r="C325" s="12" t="s">
        <v>1572</v>
      </c>
      <c r="D325" s="9">
        <f>9200*1.21</f>
        <v>11132</v>
      </c>
      <c r="E325" s="14">
        <v>44189</v>
      </c>
      <c r="F325" s="11">
        <f>E325+365</f>
        <v>44554</v>
      </c>
      <c r="G325" s="12" t="s">
        <v>1604</v>
      </c>
      <c r="H325" s="12" t="s">
        <v>1590</v>
      </c>
      <c r="I325" s="8" t="s">
        <v>13</v>
      </c>
    </row>
    <row r="326" spans="1:9" ht="25.5">
      <c r="A326" s="12" t="s">
        <v>1554</v>
      </c>
      <c r="B326" s="8">
        <v>2020</v>
      </c>
      <c r="C326" s="12" t="s">
        <v>1573</v>
      </c>
      <c r="D326" s="9">
        <f>293.19*1.21</f>
        <v>354.75989999999996</v>
      </c>
      <c r="E326" s="14">
        <v>44155</v>
      </c>
      <c r="F326" s="11">
        <v>44196</v>
      </c>
      <c r="G326" s="12" t="s">
        <v>1605</v>
      </c>
      <c r="H326" s="12" t="s">
        <v>1485</v>
      </c>
      <c r="I326" s="8" t="s">
        <v>13</v>
      </c>
    </row>
    <row r="327" spans="1:9">
      <c r="A327" s="12" t="s">
        <v>1555</v>
      </c>
      <c r="B327" s="8">
        <v>2020</v>
      </c>
      <c r="C327" s="12" t="s">
        <v>1574</v>
      </c>
      <c r="D327" s="9">
        <f>207*1.21</f>
        <v>250.47</v>
      </c>
      <c r="E327" s="14">
        <v>44155</v>
      </c>
      <c r="F327" s="11">
        <f>E327+30</f>
        <v>44185</v>
      </c>
      <c r="G327" s="12" t="s">
        <v>1606</v>
      </c>
      <c r="H327" s="12" t="s">
        <v>1591</v>
      </c>
      <c r="I327" s="8" t="s">
        <v>13</v>
      </c>
    </row>
    <row r="328" spans="1:9">
      <c r="A328" s="12" t="s">
        <v>1556</v>
      </c>
      <c r="B328" s="8">
        <v>2020</v>
      </c>
      <c r="C328" s="12" t="s">
        <v>1575</v>
      </c>
      <c r="D328" s="9">
        <f>590.9*1.21</f>
        <v>714.98899999999992</v>
      </c>
      <c r="E328" s="14">
        <v>44139</v>
      </c>
      <c r="F328" s="11">
        <v>44175</v>
      </c>
      <c r="G328" s="12" t="s">
        <v>1607</v>
      </c>
      <c r="H328" s="12" t="s">
        <v>1592</v>
      </c>
      <c r="I328" s="8" t="s">
        <v>13</v>
      </c>
    </row>
    <row r="329" spans="1:9" ht="25.5">
      <c r="A329" s="12" t="s">
        <v>1557</v>
      </c>
      <c r="B329" s="8">
        <v>2020</v>
      </c>
      <c r="C329" s="12" t="s">
        <v>1576</v>
      </c>
      <c r="D329" s="9">
        <f>4342.53*1.21</f>
        <v>5254.4612999999999</v>
      </c>
      <c r="E329" s="14">
        <v>44165</v>
      </c>
      <c r="F329" s="11">
        <v>44196</v>
      </c>
      <c r="G329" s="12" t="s">
        <v>1608</v>
      </c>
      <c r="H329" s="12" t="s">
        <v>1450</v>
      </c>
      <c r="I329" s="8" t="s">
        <v>13</v>
      </c>
    </row>
    <row r="330" spans="1:9" ht="25.5">
      <c r="A330" s="12" t="s">
        <v>1558</v>
      </c>
      <c r="B330" s="8">
        <v>2020</v>
      </c>
      <c r="C330" s="12" t="s">
        <v>1577</v>
      </c>
      <c r="D330" s="9">
        <f>1727.87*1.21</f>
        <v>2090.7226999999998</v>
      </c>
      <c r="E330" s="14">
        <v>44141</v>
      </c>
      <c r="F330" s="11">
        <f>E330+14</f>
        <v>44155</v>
      </c>
      <c r="G330" s="12" t="s">
        <v>1609</v>
      </c>
      <c r="H330" s="12" t="s">
        <v>1593</v>
      </c>
      <c r="I330" s="8" t="s">
        <v>13</v>
      </c>
    </row>
    <row r="331" spans="1:9">
      <c r="A331" s="12" t="s">
        <v>1559</v>
      </c>
      <c r="B331" s="8">
        <v>2020</v>
      </c>
      <c r="C331" s="12" t="s">
        <v>1578</v>
      </c>
      <c r="D331" s="9">
        <f>2094*1.21</f>
        <v>2533.7399999999998</v>
      </c>
      <c r="E331" s="14">
        <v>44187</v>
      </c>
      <c r="F331" s="11">
        <f>E331+28</f>
        <v>44215</v>
      </c>
      <c r="G331" s="12" t="s">
        <v>1610</v>
      </c>
      <c r="H331" s="12" t="s">
        <v>1594</v>
      </c>
      <c r="I331" s="8" t="s">
        <v>13</v>
      </c>
    </row>
    <row r="332" spans="1:9" ht="25.5">
      <c r="A332" s="12" t="s">
        <v>1560</v>
      </c>
      <c r="B332" s="8">
        <v>2020</v>
      </c>
      <c r="C332" s="12" t="s">
        <v>1579</v>
      </c>
      <c r="D332" s="9">
        <f>724*1.21</f>
        <v>876.04</v>
      </c>
      <c r="E332" s="14">
        <v>44161</v>
      </c>
      <c r="F332" s="11">
        <f>E332+120</f>
        <v>44281</v>
      </c>
      <c r="G332" s="12" t="s">
        <v>1611</v>
      </c>
      <c r="H332" s="12" t="s">
        <v>1595</v>
      </c>
      <c r="I332" s="8" t="s">
        <v>13</v>
      </c>
    </row>
    <row r="333" spans="1:9" ht="38.25">
      <c r="A333" s="12" t="s">
        <v>1561</v>
      </c>
      <c r="B333" s="8">
        <v>2020</v>
      </c>
      <c r="C333" s="12" t="s">
        <v>1580</v>
      </c>
      <c r="D333" s="9">
        <f>1079.55*1.21</f>
        <v>1306.2555</v>
      </c>
      <c r="E333" s="14">
        <v>44187</v>
      </c>
      <c r="F333" s="11">
        <f>E333+7</f>
        <v>44194</v>
      </c>
      <c r="G333" s="12" t="s">
        <v>1612</v>
      </c>
      <c r="H333" s="12" t="s">
        <v>1596</v>
      </c>
      <c r="I333" s="8" t="s">
        <v>13</v>
      </c>
    </row>
    <row r="334" spans="1:9" ht="25.5">
      <c r="A334" s="12" t="s">
        <v>1562</v>
      </c>
      <c r="B334" s="8">
        <v>2020</v>
      </c>
      <c r="C334" s="12" t="s">
        <v>1581</v>
      </c>
      <c r="D334" s="9">
        <f>1275*1.21</f>
        <v>1542.75</v>
      </c>
      <c r="E334" s="14">
        <v>44161</v>
      </c>
      <c r="F334" s="11">
        <f>E334+180</f>
        <v>44341</v>
      </c>
      <c r="G334" s="12" t="s">
        <v>1613</v>
      </c>
      <c r="H334" s="12" t="s">
        <v>1597</v>
      </c>
      <c r="I334" s="8" t="s">
        <v>13</v>
      </c>
    </row>
    <row r="335" spans="1:9">
      <c r="A335" s="12" t="s">
        <v>1563</v>
      </c>
      <c r="B335" s="8">
        <v>2020</v>
      </c>
      <c r="C335" s="12" t="s">
        <v>1582</v>
      </c>
      <c r="D335" s="9">
        <f>425*1.21</f>
        <v>514.25</v>
      </c>
      <c r="E335" s="14">
        <v>44166</v>
      </c>
      <c r="F335" s="11">
        <f>E335+21</f>
        <v>44187</v>
      </c>
      <c r="G335" s="12" t="s">
        <v>1614</v>
      </c>
      <c r="H335" s="12" t="s">
        <v>1598</v>
      </c>
      <c r="I335" s="8" t="s">
        <v>13</v>
      </c>
    </row>
    <row r="336" spans="1:9">
      <c r="A336" s="12" t="s">
        <v>1564</v>
      </c>
      <c r="B336" s="8">
        <v>2020</v>
      </c>
      <c r="C336" s="12" t="s">
        <v>1583</v>
      </c>
      <c r="D336" s="9">
        <v>1746.19</v>
      </c>
      <c r="E336" s="14">
        <v>44147</v>
      </c>
      <c r="F336" s="11">
        <v>44196</v>
      </c>
      <c r="G336" s="12" t="s">
        <v>1615</v>
      </c>
      <c r="H336" s="12" t="s">
        <v>1372</v>
      </c>
      <c r="I336" s="8" t="s">
        <v>13</v>
      </c>
    </row>
    <row r="337" spans="1:9" ht="25.5">
      <c r="A337" s="12" t="s">
        <v>1565</v>
      </c>
      <c r="B337" s="8">
        <v>2020</v>
      </c>
      <c r="C337" s="12" t="s">
        <v>1584</v>
      </c>
      <c r="D337" s="9">
        <v>348</v>
      </c>
      <c r="E337" s="14">
        <v>44175</v>
      </c>
      <c r="F337" s="11">
        <f>E337+30</f>
        <v>44205</v>
      </c>
      <c r="G337" s="12" t="s">
        <v>1616</v>
      </c>
      <c r="H337" s="12" t="s">
        <v>1599</v>
      </c>
      <c r="I337" s="8" t="s">
        <v>13</v>
      </c>
    </row>
    <row r="338" spans="1:9" ht="38.25">
      <c r="A338" s="12" t="s">
        <v>1566</v>
      </c>
      <c r="B338" s="8">
        <v>2020</v>
      </c>
      <c r="C338" s="12" t="s">
        <v>1585</v>
      </c>
      <c r="D338" s="9">
        <f>1570*1.21</f>
        <v>1899.7</v>
      </c>
      <c r="E338" s="14">
        <v>44165</v>
      </c>
      <c r="F338" s="11">
        <f>E338+30</f>
        <v>44195</v>
      </c>
      <c r="G338" s="12" t="s">
        <v>1617</v>
      </c>
      <c r="H338" s="12" t="s">
        <v>1600</v>
      </c>
      <c r="I338" s="8" t="s">
        <v>13</v>
      </c>
    </row>
    <row r="339" spans="1:9" ht="25.5">
      <c r="A339" s="12" t="s">
        <v>1567</v>
      </c>
      <c r="B339" s="8">
        <v>2020</v>
      </c>
      <c r="C339" s="12" t="s">
        <v>1586</v>
      </c>
      <c r="D339" s="9">
        <f>1298.5*1.21</f>
        <v>1571.1849999999999</v>
      </c>
      <c r="E339" s="14">
        <v>44188</v>
      </c>
      <c r="F339" s="11">
        <f>E339+30</f>
        <v>44218</v>
      </c>
      <c r="G339" s="12" t="s">
        <v>1618</v>
      </c>
      <c r="H339" s="12" t="s">
        <v>1591</v>
      </c>
      <c r="I339" s="8" t="s">
        <v>13</v>
      </c>
    </row>
    <row r="340" spans="1:9" ht="38.25">
      <c r="A340" s="12" t="s">
        <v>1568</v>
      </c>
      <c r="B340" s="8">
        <v>2020</v>
      </c>
      <c r="C340" s="12" t="s">
        <v>1587</v>
      </c>
      <c r="D340" s="9">
        <v>770</v>
      </c>
      <c r="E340" s="14">
        <v>44146</v>
      </c>
      <c r="F340" s="11">
        <f>E340+42</f>
        <v>44188</v>
      </c>
      <c r="G340" s="12" t="s">
        <v>1619</v>
      </c>
      <c r="H340" s="12" t="s">
        <v>1601</v>
      </c>
      <c r="I340" s="8" t="s">
        <v>13</v>
      </c>
    </row>
    <row r="341" spans="1:9">
      <c r="A341" s="12" t="s">
        <v>1569</v>
      </c>
      <c r="B341" s="8">
        <v>2020</v>
      </c>
      <c r="C341" s="12" t="s">
        <v>1588</v>
      </c>
      <c r="D341" s="9">
        <f>1261.5*1.21</f>
        <v>1526.415</v>
      </c>
      <c r="E341" s="14">
        <v>44146</v>
      </c>
      <c r="F341" s="11">
        <f>E341+28</f>
        <v>44174</v>
      </c>
      <c r="G341" s="12" t="s">
        <v>1620</v>
      </c>
      <c r="H341" s="12" t="s">
        <v>1549</v>
      </c>
      <c r="I341" s="8" t="s">
        <v>13</v>
      </c>
    </row>
    <row r="342" spans="1:9">
      <c r="A342" s="12" t="s">
        <v>1621</v>
      </c>
      <c r="B342" s="8">
        <v>2020</v>
      </c>
      <c r="C342" s="12" t="s">
        <v>1629</v>
      </c>
      <c r="D342" s="9">
        <f>167.7*1.21</f>
        <v>202.91699999999997</v>
      </c>
      <c r="E342" s="14">
        <v>44166</v>
      </c>
      <c r="F342" s="11">
        <f>E342+30</f>
        <v>44196</v>
      </c>
      <c r="G342" s="12" t="s">
        <v>1637</v>
      </c>
      <c r="H342" s="12" t="s">
        <v>1247</v>
      </c>
      <c r="I342" s="8" t="s">
        <v>13</v>
      </c>
    </row>
    <row r="343" spans="1:9" ht="25.5">
      <c r="A343" s="12" t="s">
        <v>1622</v>
      </c>
      <c r="B343" s="8">
        <v>2020</v>
      </c>
      <c r="C343" s="12" t="s">
        <v>1630</v>
      </c>
      <c r="D343" s="9">
        <f>77.35*1.21</f>
        <v>93.593499999999992</v>
      </c>
      <c r="E343" s="14">
        <v>44158</v>
      </c>
      <c r="F343" s="11">
        <f>E343+7</f>
        <v>44165</v>
      </c>
      <c r="G343" s="12" t="s">
        <v>1638</v>
      </c>
      <c r="H343" s="12" t="s">
        <v>1644</v>
      </c>
      <c r="I343" s="8" t="s">
        <v>13</v>
      </c>
    </row>
    <row r="344" spans="1:9" ht="25.5">
      <c r="A344" s="12" t="s">
        <v>1623</v>
      </c>
      <c r="B344" s="8">
        <v>2020</v>
      </c>
      <c r="C344" s="12" t="s">
        <v>1631</v>
      </c>
      <c r="D344" s="9">
        <f>180*1.21</f>
        <v>217.79999999999998</v>
      </c>
      <c r="E344" s="14">
        <v>44147</v>
      </c>
      <c r="F344" s="11"/>
      <c r="G344" s="12" t="s">
        <v>1639</v>
      </c>
      <c r="H344" s="12" t="s">
        <v>294</v>
      </c>
      <c r="I344" s="8" t="s">
        <v>13</v>
      </c>
    </row>
    <row r="345" spans="1:9" ht="25.5">
      <c r="A345" s="12" t="s">
        <v>1624</v>
      </c>
      <c r="B345" s="8">
        <v>2020</v>
      </c>
      <c r="C345" s="12" t="s">
        <v>1632</v>
      </c>
      <c r="D345" s="9">
        <f>2891.75*1.21</f>
        <v>3499.0174999999999</v>
      </c>
      <c r="E345" s="14">
        <v>44154</v>
      </c>
      <c r="F345" s="11">
        <v>44185</v>
      </c>
      <c r="G345" s="12" t="s">
        <v>1640</v>
      </c>
      <c r="H345" s="12" t="s">
        <v>1259</v>
      </c>
      <c r="I345" s="8" t="s">
        <v>13</v>
      </c>
    </row>
    <row r="346" spans="1:9" s="3" customFormat="1">
      <c r="A346" s="12" t="s">
        <v>1625</v>
      </c>
      <c r="B346" s="8">
        <v>2020</v>
      </c>
      <c r="C346" s="12" t="s">
        <v>1633</v>
      </c>
      <c r="D346" s="9">
        <f>706.4*1.21</f>
        <v>854.74399999999991</v>
      </c>
      <c r="E346" s="14">
        <v>44186</v>
      </c>
      <c r="F346" s="10">
        <v>44561</v>
      </c>
      <c r="G346" s="12" t="s">
        <v>1641</v>
      </c>
      <c r="H346" s="12" t="s">
        <v>1645</v>
      </c>
      <c r="I346" s="8" t="s">
        <v>13</v>
      </c>
    </row>
    <row r="347" spans="1:9" ht="38.25">
      <c r="A347" s="12" t="s">
        <v>1626</v>
      </c>
      <c r="B347" s="8">
        <v>2020</v>
      </c>
      <c r="C347" s="12" t="s">
        <v>1634</v>
      </c>
      <c r="D347" s="9">
        <f>2347.9*1.21</f>
        <v>2840.9589999999998</v>
      </c>
      <c r="E347" s="14">
        <v>44148</v>
      </c>
      <c r="F347" s="11">
        <f>E347+60</f>
        <v>44208</v>
      </c>
      <c r="G347" s="12" t="s">
        <v>1642</v>
      </c>
      <c r="H347" s="12" t="s">
        <v>355</v>
      </c>
      <c r="I347" s="8" t="s">
        <v>13</v>
      </c>
    </row>
    <row r="348" spans="1:9" ht="25.5">
      <c r="A348" s="12" t="s">
        <v>1627</v>
      </c>
      <c r="B348" s="8">
        <v>2020</v>
      </c>
      <c r="C348" s="12" t="s">
        <v>1635</v>
      </c>
      <c r="D348" s="9">
        <f>650*1.21</f>
        <v>786.5</v>
      </c>
      <c r="E348" s="14">
        <v>44154</v>
      </c>
      <c r="F348" s="11">
        <v>44185</v>
      </c>
      <c r="G348" s="12" t="s">
        <v>425</v>
      </c>
      <c r="H348" s="12" t="s">
        <v>349</v>
      </c>
      <c r="I348" s="8" t="s">
        <v>13</v>
      </c>
    </row>
    <row r="349" spans="1:9" ht="38.25">
      <c r="A349" s="12" t="s">
        <v>1628</v>
      </c>
      <c r="B349" s="8">
        <v>2020</v>
      </c>
      <c r="C349" s="12" t="s">
        <v>1636</v>
      </c>
      <c r="D349" s="9">
        <v>400</v>
      </c>
      <c r="E349" s="14">
        <v>44147</v>
      </c>
      <c r="F349" s="11">
        <v>44196</v>
      </c>
      <c r="G349" s="12" t="s">
        <v>1643</v>
      </c>
      <c r="H349" s="12" t="s">
        <v>1646</v>
      </c>
      <c r="I349" s="8" t="s">
        <v>13</v>
      </c>
    </row>
    <row r="350" spans="1:9" ht="25.5">
      <c r="A350" s="12" t="s">
        <v>1647</v>
      </c>
      <c r="B350" s="8">
        <v>2020</v>
      </c>
      <c r="C350" s="12" t="s">
        <v>1653</v>
      </c>
      <c r="D350" s="9">
        <f>1306.75*1.21</f>
        <v>1581.1675</v>
      </c>
      <c r="E350" s="14">
        <v>44169</v>
      </c>
      <c r="F350" s="11">
        <f>E350+30</f>
        <v>44199</v>
      </c>
      <c r="G350" s="12" t="s">
        <v>1664</v>
      </c>
      <c r="H350" s="12" t="s">
        <v>1659</v>
      </c>
      <c r="I350" s="8" t="s">
        <v>13</v>
      </c>
    </row>
    <row r="351" spans="1:9" ht="38.25">
      <c r="A351" s="12" t="s">
        <v>1648</v>
      </c>
      <c r="B351" s="8">
        <v>2020</v>
      </c>
      <c r="C351" s="12" t="s">
        <v>1654</v>
      </c>
      <c r="D351" s="9">
        <f>2544.33*1.21</f>
        <v>3078.6392999999998</v>
      </c>
      <c r="E351" s="14">
        <v>44154</v>
      </c>
      <c r="F351" s="11">
        <f>E351+30</f>
        <v>44184</v>
      </c>
      <c r="G351" s="12" t="s">
        <v>1665</v>
      </c>
      <c r="H351" s="12" t="s">
        <v>1660</v>
      </c>
      <c r="I351" s="8" t="s">
        <v>13</v>
      </c>
    </row>
    <row r="352" spans="1:9" ht="25.5">
      <c r="A352" s="12" t="s">
        <v>1649</v>
      </c>
      <c r="B352" s="8">
        <v>2020</v>
      </c>
      <c r="C352" s="12" t="s">
        <v>1655</v>
      </c>
      <c r="D352" s="9">
        <f>2160*1.21</f>
        <v>2613.6</v>
      </c>
      <c r="E352" s="14">
        <v>44146</v>
      </c>
      <c r="F352" s="11">
        <f>E352+21</f>
        <v>44167</v>
      </c>
      <c r="G352" s="12" t="s">
        <v>1666</v>
      </c>
      <c r="H352" s="12" t="s">
        <v>1661</v>
      </c>
      <c r="I352" s="8" t="s">
        <v>13</v>
      </c>
    </row>
    <row r="353" spans="1:9" ht="38.25">
      <c r="A353" s="12" t="s">
        <v>1650</v>
      </c>
      <c r="B353" s="8">
        <v>2020</v>
      </c>
      <c r="C353" s="12" t="s">
        <v>1656</v>
      </c>
      <c r="D353" s="9">
        <f>2166*1.21</f>
        <v>2620.86</v>
      </c>
      <c r="E353" s="14">
        <v>44148</v>
      </c>
      <c r="F353" s="11">
        <f>E353+30</f>
        <v>44178</v>
      </c>
      <c r="G353" s="12" t="s">
        <v>1461</v>
      </c>
      <c r="H353" s="12" t="s">
        <v>301</v>
      </c>
      <c r="I353" s="8" t="s">
        <v>13</v>
      </c>
    </row>
    <row r="354" spans="1:9" ht="25.5">
      <c r="A354" s="12" t="s">
        <v>1651</v>
      </c>
      <c r="B354" s="8">
        <v>2020</v>
      </c>
      <c r="C354" s="12" t="s">
        <v>1657</v>
      </c>
      <c r="D354" s="9">
        <f>1500*1.21</f>
        <v>1815</v>
      </c>
      <c r="E354" s="14">
        <v>43841</v>
      </c>
      <c r="F354" s="11">
        <f>E354+15</f>
        <v>43856</v>
      </c>
      <c r="G354" s="12" t="s">
        <v>1667</v>
      </c>
      <c r="H354" s="12" t="s">
        <v>1662</v>
      </c>
      <c r="I354" s="8" t="s">
        <v>13</v>
      </c>
    </row>
    <row r="355" spans="1:9" ht="25.5">
      <c r="A355" s="12" t="s">
        <v>1652</v>
      </c>
      <c r="B355" s="8">
        <v>2020</v>
      </c>
      <c r="C355" s="12" t="s">
        <v>1658</v>
      </c>
      <c r="D355" s="9">
        <f>750*1.21</f>
        <v>907.5</v>
      </c>
      <c r="E355" s="14">
        <v>44183</v>
      </c>
      <c r="F355" s="11">
        <f>E355+7</f>
        <v>44190</v>
      </c>
      <c r="G355" s="12" t="s">
        <v>1668</v>
      </c>
      <c r="H355" s="12" t="s">
        <v>1663</v>
      </c>
      <c r="I355" s="8" t="s">
        <v>13</v>
      </c>
    </row>
    <row r="356" spans="1:9">
      <c r="A356" s="12" t="s">
        <v>1680</v>
      </c>
      <c r="B356" s="8">
        <v>2020</v>
      </c>
      <c r="C356" s="12" t="s">
        <v>1683</v>
      </c>
      <c r="D356" s="9">
        <f>62.6*1.21</f>
        <v>75.745999999999995</v>
      </c>
      <c r="E356" s="14">
        <v>44145</v>
      </c>
      <c r="F356" s="11">
        <v>44185</v>
      </c>
      <c r="G356" s="12" t="s">
        <v>80</v>
      </c>
      <c r="H356" s="12" t="s">
        <v>312</v>
      </c>
      <c r="I356" s="8" t="s">
        <v>13</v>
      </c>
    </row>
    <row r="357" spans="1:9">
      <c r="A357" s="12" t="s">
        <v>1681</v>
      </c>
      <c r="B357" s="8">
        <v>2020</v>
      </c>
      <c r="C357" s="12" t="s">
        <v>1684</v>
      </c>
      <c r="D357" s="9">
        <f>1500*1.21</f>
        <v>1815</v>
      </c>
      <c r="E357" s="14">
        <v>44148</v>
      </c>
      <c r="F357" s="11">
        <v>44196</v>
      </c>
      <c r="G357" s="12" t="s">
        <v>1687</v>
      </c>
      <c r="H357" s="12" t="s">
        <v>1686</v>
      </c>
      <c r="I357" s="8" t="s">
        <v>13</v>
      </c>
    </row>
    <row r="358" spans="1:9" ht="25.5">
      <c r="A358" s="12" t="s">
        <v>1682</v>
      </c>
      <c r="B358" s="8">
        <v>2020</v>
      </c>
      <c r="C358" s="12" t="s">
        <v>1685</v>
      </c>
      <c r="D358" s="9">
        <f>1276*1.21</f>
        <v>1543.96</v>
      </c>
      <c r="E358" s="14">
        <v>44155</v>
      </c>
      <c r="F358" s="11">
        <f>E358+30</f>
        <v>44185</v>
      </c>
      <c r="G358" s="12" t="s">
        <v>1688</v>
      </c>
      <c r="H358" s="12" t="s">
        <v>705</v>
      </c>
      <c r="I358" s="8" t="s">
        <v>13</v>
      </c>
    </row>
    <row r="359" spans="1:9" s="4" customFormat="1" ht="25.5">
      <c r="A359" s="12" t="s">
        <v>1689</v>
      </c>
      <c r="B359" s="8">
        <v>2020</v>
      </c>
      <c r="C359" s="12" t="s">
        <v>1694</v>
      </c>
      <c r="D359" s="9">
        <f>8428.32*1.21</f>
        <v>10198.2672</v>
      </c>
      <c r="E359" s="14">
        <v>44162</v>
      </c>
      <c r="F359" s="11">
        <v>44196</v>
      </c>
      <c r="G359" s="12" t="s">
        <v>1703</v>
      </c>
      <c r="H359" s="12" t="s">
        <v>1699</v>
      </c>
      <c r="I359" s="8" t="s">
        <v>13</v>
      </c>
    </row>
    <row r="360" spans="1:9" s="4" customFormat="1">
      <c r="A360" s="12" t="s">
        <v>1690</v>
      </c>
      <c r="B360" s="8">
        <v>2020</v>
      </c>
      <c r="C360" s="12" t="s">
        <v>1695</v>
      </c>
      <c r="D360" s="9">
        <f>1706.27*1.21</f>
        <v>2064.5866999999998</v>
      </c>
      <c r="E360" s="14">
        <v>44165</v>
      </c>
      <c r="F360" s="11">
        <v>44434</v>
      </c>
      <c r="G360" s="12" t="s">
        <v>1704</v>
      </c>
      <c r="H360" s="12" t="s">
        <v>1700</v>
      </c>
      <c r="I360" s="8" t="s">
        <v>13</v>
      </c>
    </row>
    <row r="361" spans="1:9" s="4" customFormat="1" ht="25.5">
      <c r="A361" s="12" t="s">
        <v>1691</v>
      </c>
      <c r="B361" s="8">
        <v>2020</v>
      </c>
      <c r="C361" s="12" t="s">
        <v>1696</v>
      </c>
      <c r="D361" s="9">
        <f>1500*1.21</f>
        <v>1815</v>
      </c>
      <c r="E361" s="14">
        <v>44152</v>
      </c>
      <c r="F361" s="11">
        <v>44196</v>
      </c>
      <c r="G361" s="12" t="s">
        <v>1705</v>
      </c>
      <c r="H361" s="12" t="s">
        <v>1701</v>
      </c>
      <c r="I361" s="8" t="s">
        <v>13</v>
      </c>
    </row>
    <row r="362" spans="1:9" s="4" customFormat="1">
      <c r="A362" s="12" t="s">
        <v>1692</v>
      </c>
      <c r="B362" s="8">
        <v>2020</v>
      </c>
      <c r="C362" s="12" t="s">
        <v>1697</v>
      </c>
      <c r="D362" s="9">
        <f>18.4*1.21</f>
        <v>22.263999999999999</v>
      </c>
      <c r="E362" s="14">
        <v>44152</v>
      </c>
      <c r="F362" s="11">
        <v>44196</v>
      </c>
      <c r="G362" s="12" t="s">
        <v>1706</v>
      </c>
      <c r="H362" s="12" t="s">
        <v>97</v>
      </c>
      <c r="I362" s="8" t="s">
        <v>13</v>
      </c>
    </row>
    <row r="363" spans="1:9" s="4" customFormat="1" ht="25.5">
      <c r="A363" s="12" t="s">
        <v>1693</v>
      </c>
      <c r="B363" s="8">
        <v>2020</v>
      </c>
      <c r="C363" s="12" t="s">
        <v>1698</v>
      </c>
      <c r="D363" s="9">
        <f>195*1.21</f>
        <v>235.95</v>
      </c>
      <c r="E363" s="14">
        <v>44152</v>
      </c>
      <c r="F363" s="11">
        <f>E363+42</f>
        <v>44194</v>
      </c>
      <c r="G363" s="12" t="s">
        <v>1707</v>
      </c>
      <c r="H363" s="12" t="s">
        <v>1702</v>
      </c>
      <c r="I363" s="8" t="s">
        <v>13</v>
      </c>
    </row>
    <row r="364" spans="1:9">
      <c r="A364" s="12" t="s">
        <v>812</v>
      </c>
      <c r="B364" s="8">
        <v>2020</v>
      </c>
      <c r="C364" s="12" t="s">
        <v>813</v>
      </c>
      <c r="D364" s="9">
        <f>6000*1.21</f>
        <v>7260</v>
      </c>
      <c r="E364" s="14">
        <v>44155</v>
      </c>
      <c r="F364" s="10">
        <v>44196</v>
      </c>
      <c r="G364" s="12" t="s">
        <v>815</v>
      </c>
      <c r="H364" s="12" t="s">
        <v>814</v>
      </c>
      <c r="I364" s="8" t="s">
        <v>13</v>
      </c>
    </row>
    <row r="365" spans="1:9" ht="51" customHeight="1">
      <c r="A365" s="12" t="s">
        <v>894</v>
      </c>
      <c r="B365" s="8">
        <v>2020</v>
      </c>
      <c r="C365" s="12" t="s">
        <v>1004</v>
      </c>
      <c r="D365" s="9">
        <f>1754.28*1.21</f>
        <v>2122.6787999999997</v>
      </c>
      <c r="E365" s="14">
        <v>44148</v>
      </c>
      <c r="F365" s="10">
        <f>E365+30</f>
        <v>44178</v>
      </c>
      <c r="G365" s="12" t="s">
        <v>1114</v>
      </c>
      <c r="H365" s="12" t="s">
        <v>780</v>
      </c>
      <c r="I365" s="8" t="s">
        <v>13</v>
      </c>
    </row>
    <row r="366" spans="1:9" ht="51" customHeight="1">
      <c r="A366" s="12" t="s">
        <v>895</v>
      </c>
      <c r="B366" s="8">
        <v>2020</v>
      </c>
      <c r="C366" s="12" t="s">
        <v>1005</v>
      </c>
      <c r="D366" s="9">
        <f>1670*1.21</f>
        <v>2020.7</v>
      </c>
      <c r="E366" s="14">
        <v>44148</v>
      </c>
      <c r="F366" s="10">
        <f>E366+30</f>
        <v>44178</v>
      </c>
      <c r="G366" s="12" t="s">
        <v>1115</v>
      </c>
      <c r="H366" s="12" t="s">
        <v>298</v>
      </c>
      <c r="I366" s="8" t="s">
        <v>13</v>
      </c>
    </row>
    <row r="367" spans="1:9" ht="51" customHeight="1">
      <c r="A367" s="12" t="s">
        <v>896</v>
      </c>
      <c r="B367" s="8">
        <v>2020</v>
      </c>
      <c r="C367" s="12" t="s">
        <v>1006</v>
      </c>
      <c r="D367" s="9">
        <f>600*1.21</f>
        <v>726</v>
      </c>
      <c r="E367" s="14">
        <v>44154</v>
      </c>
      <c r="F367" s="10">
        <v>44185</v>
      </c>
      <c r="G367" s="12" t="s">
        <v>1116</v>
      </c>
      <c r="H367" s="12" t="s">
        <v>336</v>
      </c>
      <c r="I367" s="8" t="s">
        <v>13</v>
      </c>
    </row>
    <row r="368" spans="1:9" ht="51" customHeight="1">
      <c r="A368" s="12" t="s">
        <v>897</v>
      </c>
      <c r="B368" s="8">
        <v>2020</v>
      </c>
      <c r="C368" s="12" t="s">
        <v>1007</v>
      </c>
      <c r="D368" s="9">
        <f>600*1.21</f>
        <v>726</v>
      </c>
      <c r="E368" s="14">
        <v>44155</v>
      </c>
      <c r="F368" s="10">
        <v>44185</v>
      </c>
      <c r="G368" s="12" t="s">
        <v>1117</v>
      </c>
      <c r="H368" s="12" t="s">
        <v>502</v>
      </c>
      <c r="I368" s="8" t="s">
        <v>13</v>
      </c>
    </row>
    <row r="369" spans="1:9" ht="51" customHeight="1">
      <c r="A369" s="12" t="s">
        <v>898</v>
      </c>
      <c r="B369" s="8">
        <v>2020</v>
      </c>
      <c r="C369" s="12" t="s">
        <v>1008</v>
      </c>
      <c r="D369" s="9">
        <f>700*1.21</f>
        <v>847</v>
      </c>
      <c r="E369" s="14">
        <v>44165</v>
      </c>
      <c r="F369" s="10">
        <v>44185</v>
      </c>
      <c r="G369" s="12" t="s">
        <v>1118</v>
      </c>
      <c r="H369" s="12" t="s">
        <v>334</v>
      </c>
      <c r="I369" s="8" t="s">
        <v>13</v>
      </c>
    </row>
    <row r="370" spans="1:9" ht="51" customHeight="1">
      <c r="A370" s="12" t="s">
        <v>899</v>
      </c>
      <c r="B370" s="8">
        <v>2020</v>
      </c>
      <c r="C370" s="12" t="s">
        <v>1009</v>
      </c>
      <c r="D370" s="9">
        <f>610*1.21</f>
        <v>738.1</v>
      </c>
      <c r="E370" s="14">
        <v>44155</v>
      </c>
      <c r="F370" s="10">
        <v>44185</v>
      </c>
      <c r="G370" s="12" t="s">
        <v>411</v>
      </c>
      <c r="H370" s="12" t="s">
        <v>337</v>
      </c>
      <c r="I370" s="8" t="s">
        <v>13</v>
      </c>
    </row>
    <row r="371" spans="1:9" ht="51" customHeight="1">
      <c r="A371" s="12" t="s">
        <v>900</v>
      </c>
      <c r="B371" s="8">
        <v>2020</v>
      </c>
      <c r="C371" s="12" t="s">
        <v>1010</v>
      </c>
      <c r="D371" s="9">
        <f>500*1.21</f>
        <v>605</v>
      </c>
      <c r="E371" s="14">
        <v>44154</v>
      </c>
      <c r="F371" s="10">
        <v>44185</v>
      </c>
      <c r="G371" s="12" t="s">
        <v>1119</v>
      </c>
      <c r="H371" s="12" t="s">
        <v>1212</v>
      </c>
      <c r="I371" s="8" t="s">
        <v>13</v>
      </c>
    </row>
    <row r="372" spans="1:9" ht="51" customHeight="1">
      <c r="A372" s="12" t="s">
        <v>901</v>
      </c>
      <c r="B372" s="8">
        <v>2020</v>
      </c>
      <c r="C372" s="12" t="s">
        <v>1011</v>
      </c>
      <c r="D372" s="9">
        <f>750*1.21</f>
        <v>907.5</v>
      </c>
      <c r="E372" s="14">
        <v>44154</v>
      </c>
      <c r="F372" s="10">
        <v>44185</v>
      </c>
      <c r="G372" s="12" t="s">
        <v>1120</v>
      </c>
      <c r="H372" s="12" t="s">
        <v>1213</v>
      </c>
      <c r="I372" s="8" t="s">
        <v>13</v>
      </c>
    </row>
    <row r="373" spans="1:9" ht="51" customHeight="1">
      <c r="A373" s="12" t="s">
        <v>902</v>
      </c>
      <c r="B373" s="8">
        <v>2020</v>
      </c>
      <c r="C373" s="12" t="s">
        <v>1012</v>
      </c>
      <c r="D373" s="9">
        <f>400*1.21</f>
        <v>484</v>
      </c>
      <c r="E373" s="14">
        <v>44154</v>
      </c>
      <c r="F373" s="10">
        <v>44185</v>
      </c>
      <c r="G373" s="12" t="s">
        <v>1121</v>
      </c>
      <c r="H373" s="12" t="s">
        <v>1214</v>
      </c>
      <c r="I373" s="8" t="s">
        <v>13</v>
      </c>
    </row>
    <row r="374" spans="1:9" ht="51" customHeight="1">
      <c r="A374" s="12" t="s">
        <v>903</v>
      </c>
      <c r="B374" s="8">
        <v>2020</v>
      </c>
      <c r="C374" s="12" t="s">
        <v>1013</v>
      </c>
      <c r="D374" s="9">
        <v>1000</v>
      </c>
      <c r="E374" s="14">
        <v>44155</v>
      </c>
      <c r="F374" s="10">
        <v>44196</v>
      </c>
      <c r="G374" s="12" t="s">
        <v>1122</v>
      </c>
      <c r="H374" s="12" t="s">
        <v>1215</v>
      </c>
      <c r="I374" s="8" t="s">
        <v>13</v>
      </c>
    </row>
    <row r="375" spans="1:9" ht="51" customHeight="1">
      <c r="A375" s="12" t="s">
        <v>904</v>
      </c>
      <c r="B375" s="8">
        <v>2020</v>
      </c>
      <c r="C375" s="12" t="s">
        <v>1014</v>
      </c>
      <c r="D375" s="9">
        <f>550*1.21</f>
        <v>665.5</v>
      </c>
      <c r="E375" s="14">
        <v>44158</v>
      </c>
      <c r="F375" s="10">
        <v>44185</v>
      </c>
      <c r="G375" s="12" t="s">
        <v>1123</v>
      </c>
      <c r="H375" s="12" t="s">
        <v>1216</v>
      </c>
      <c r="I375" s="8" t="s">
        <v>13</v>
      </c>
    </row>
    <row r="376" spans="1:9">
      <c r="A376" s="12" t="s">
        <v>905</v>
      </c>
      <c r="B376" s="8">
        <v>2020</v>
      </c>
      <c r="C376" s="12" t="s">
        <v>1015</v>
      </c>
      <c r="D376" s="9">
        <f>7969*1.1</f>
        <v>8765.9000000000015</v>
      </c>
      <c r="E376" s="14">
        <v>44193</v>
      </c>
      <c r="F376" s="10">
        <v>44196</v>
      </c>
      <c r="G376" s="12" t="s">
        <v>1124</v>
      </c>
      <c r="H376" s="12" t="s">
        <v>1217</v>
      </c>
      <c r="I376" s="8" t="s">
        <v>13</v>
      </c>
    </row>
    <row r="377" spans="1:9">
      <c r="A377" s="12" t="s">
        <v>906</v>
      </c>
      <c r="B377" s="8">
        <v>2020</v>
      </c>
      <c r="C377" s="12" t="s">
        <v>1016</v>
      </c>
      <c r="D377" s="9">
        <f>411.54*1.21</f>
        <v>497.96340000000004</v>
      </c>
      <c r="E377" s="14">
        <v>44158</v>
      </c>
      <c r="F377" s="10">
        <v>44185</v>
      </c>
      <c r="G377" s="12" t="s">
        <v>1125</v>
      </c>
      <c r="H377" s="12" t="s">
        <v>1218</v>
      </c>
      <c r="I377" s="8" t="s">
        <v>13</v>
      </c>
    </row>
    <row r="378" spans="1:9">
      <c r="A378" s="12" t="s">
        <v>907</v>
      </c>
      <c r="B378" s="8">
        <v>2020</v>
      </c>
      <c r="C378" s="12" t="s">
        <v>1017</v>
      </c>
      <c r="D378" s="9">
        <f>2000*1.21</f>
        <v>2420</v>
      </c>
      <c r="E378" s="14">
        <v>44154</v>
      </c>
      <c r="F378" s="10">
        <v>44185</v>
      </c>
      <c r="G378" s="12" t="s">
        <v>1126</v>
      </c>
      <c r="H378" s="12" t="s">
        <v>1219</v>
      </c>
      <c r="I378" s="8" t="s">
        <v>13</v>
      </c>
    </row>
    <row r="379" spans="1:9" ht="25.5">
      <c r="A379" s="12" t="s">
        <v>908</v>
      </c>
      <c r="B379" s="8">
        <v>2020</v>
      </c>
      <c r="C379" s="12" t="s">
        <v>1018</v>
      </c>
      <c r="D379" s="9">
        <f>340*1.21</f>
        <v>411.4</v>
      </c>
      <c r="E379" s="14">
        <v>44158</v>
      </c>
      <c r="F379" s="10">
        <f>E379+10</f>
        <v>44168</v>
      </c>
      <c r="G379" s="12" t="s">
        <v>1127</v>
      </c>
      <c r="H379" s="12" t="s">
        <v>299</v>
      </c>
      <c r="I379" s="8" t="s">
        <v>13</v>
      </c>
    </row>
    <row r="380" spans="1:9">
      <c r="A380" s="12" t="s">
        <v>909</v>
      </c>
      <c r="B380" s="8">
        <v>2020</v>
      </c>
      <c r="C380" s="12" t="s">
        <v>1019</v>
      </c>
      <c r="D380" s="9">
        <f>1200*1.21</f>
        <v>1452</v>
      </c>
      <c r="E380" s="14">
        <v>44167</v>
      </c>
      <c r="F380" s="10">
        <f>E380+30</f>
        <v>44197</v>
      </c>
      <c r="G380" s="12" t="s">
        <v>1128</v>
      </c>
      <c r="H380" s="12" t="s">
        <v>504</v>
      </c>
      <c r="I380" s="8" t="s">
        <v>13</v>
      </c>
    </row>
    <row r="381" spans="1:9">
      <c r="A381" s="12" t="s">
        <v>910</v>
      </c>
      <c r="B381" s="8">
        <v>2020</v>
      </c>
      <c r="C381" s="12" t="s">
        <v>1020</v>
      </c>
      <c r="D381" s="9">
        <f>754.66*1.21</f>
        <v>913.13859999999988</v>
      </c>
      <c r="E381" s="14">
        <v>44154</v>
      </c>
      <c r="F381" s="10">
        <v>44201</v>
      </c>
      <c r="G381" s="12" t="s">
        <v>1129</v>
      </c>
      <c r="H381" s="12" t="s">
        <v>349</v>
      </c>
      <c r="I381" s="8" t="s">
        <v>13</v>
      </c>
    </row>
    <row r="382" spans="1:9">
      <c r="A382" s="12" t="s">
        <v>911</v>
      </c>
      <c r="B382" s="8">
        <v>2020</v>
      </c>
      <c r="C382" s="12" t="s">
        <v>1021</v>
      </c>
      <c r="D382" s="9">
        <f>884*1.21</f>
        <v>1069.6399999999999</v>
      </c>
      <c r="E382" s="14">
        <v>44167</v>
      </c>
      <c r="F382" s="10">
        <f>E382+30</f>
        <v>44197</v>
      </c>
      <c r="G382" s="12" t="s">
        <v>1130</v>
      </c>
      <c r="H382" s="12" t="s">
        <v>1220</v>
      </c>
      <c r="I382" s="8" t="s">
        <v>13</v>
      </c>
    </row>
    <row r="383" spans="1:9">
      <c r="A383" s="12" t="s">
        <v>912</v>
      </c>
      <c r="B383" s="8">
        <v>2020</v>
      </c>
      <c r="C383" s="12" t="s">
        <v>1022</v>
      </c>
      <c r="D383" s="9">
        <f>242*1.21</f>
        <v>292.82</v>
      </c>
      <c r="E383" s="14">
        <v>44175</v>
      </c>
      <c r="F383" s="10">
        <v>44201</v>
      </c>
      <c r="G383" s="12" t="s">
        <v>1118</v>
      </c>
      <c r="H383" s="12" t="s">
        <v>334</v>
      </c>
      <c r="I383" s="8" t="s">
        <v>13</v>
      </c>
    </row>
    <row r="384" spans="1:9">
      <c r="A384" s="12" t="s">
        <v>913</v>
      </c>
      <c r="B384" s="8">
        <v>2020</v>
      </c>
      <c r="C384" s="12" t="s">
        <v>1023</v>
      </c>
      <c r="D384" s="9">
        <f>675*1.21</f>
        <v>816.75</v>
      </c>
      <c r="E384" s="14">
        <v>44165</v>
      </c>
      <c r="F384" s="10">
        <v>44201</v>
      </c>
      <c r="G384" s="12" t="s">
        <v>1117</v>
      </c>
      <c r="H384" s="12" t="s">
        <v>502</v>
      </c>
      <c r="I384" s="8" t="s">
        <v>13</v>
      </c>
    </row>
    <row r="385" spans="1:9" ht="25.5">
      <c r="A385" s="12" t="s">
        <v>914</v>
      </c>
      <c r="B385" s="8">
        <v>2020</v>
      </c>
      <c r="C385" s="12" t="s">
        <v>1024</v>
      </c>
      <c r="D385" s="9">
        <f>2002.7*1.21</f>
        <v>2423.2669999999998</v>
      </c>
      <c r="E385" s="14">
        <v>44167</v>
      </c>
      <c r="F385" s="10">
        <f>E385+30</f>
        <v>44197</v>
      </c>
      <c r="G385" s="12" t="s">
        <v>1131</v>
      </c>
      <c r="H385" s="12" t="s">
        <v>1221</v>
      </c>
      <c r="I385" s="8" t="s">
        <v>13</v>
      </c>
    </row>
    <row r="386" spans="1:9">
      <c r="A386" s="12" t="s">
        <v>915</v>
      </c>
      <c r="B386" s="8">
        <v>2020</v>
      </c>
      <c r="C386" s="12" t="s">
        <v>1025</v>
      </c>
      <c r="D386" s="9">
        <f>683.78*1.21</f>
        <v>827.37379999999996</v>
      </c>
      <c r="E386" s="14">
        <v>44183</v>
      </c>
      <c r="F386" s="10">
        <f>E386+7</f>
        <v>44190</v>
      </c>
      <c r="G386" s="12" t="s">
        <v>393</v>
      </c>
      <c r="H386" s="12" t="s">
        <v>320</v>
      </c>
      <c r="I386" s="8" t="s">
        <v>13</v>
      </c>
    </row>
    <row r="387" spans="1:9">
      <c r="A387" s="12" t="s">
        <v>916</v>
      </c>
      <c r="B387" s="8">
        <v>2020</v>
      </c>
      <c r="C387" s="12" t="s">
        <v>1022</v>
      </c>
      <c r="D387" s="9">
        <f>738*1.21</f>
        <v>892.98</v>
      </c>
      <c r="E387" s="14">
        <v>44154</v>
      </c>
      <c r="F387" s="10">
        <v>44201</v>
      </c>
      <c r="G387" s="12" t="s">
        <v>411</v>
      </c>
      <c r="H387" s="12" t="s">
        <v>337</v>
      </c>
      <c r="I387" s="8" t="s">
        <v>13</v>
      </c>
    </row>
    <row r="388" spans="1:9">
      <c r="A388" s="12" t="s">
        <v>917</v>
      </c>
      <c r="B388" s="8">
        <v>2020</v>
      </c>
      <c r="C388" s="12" t="s">
        <v>1026</v>
      </c>
      <c r="D388" s="9">
        <f>2550*1.04</f>
        <v>2652</v>
      </c>
      <c r="E388" s="14">
        <v>44167</v>
      </c>
      <c r="F388" s="10">
        <f>E388+30</f>
        <v>44197</v>
      </c>
      <c r="G388" s="12" t="s">
        <v>1132</v>
      </c>
      <c r="H388" s="12" t="s">
        <v>294</v>
      </c>
      <c r="I388" s="8" t="s">
        <v>13</v>
      </c>
    </row>
    <row r="389" spans="1:9">
      <c r="A389" s="12" t="s">
        <v>918</v>
      </c>
      <c r="B389" s="8">
        <v>2020</v>
      </c>
      <c r="C389" s="12" t="s">
        <v>1027</v>
      </c>
      <c r="D389" s="9">
        <f>2125*1.21</f>
        <v>2571.25</v>
      </c>
      <c r="E389" s="14">
        <v>44165</v>
      </c>
      <c r="F389" s="10">
        <v>44185</v>
      </c>
      <c r="G389" s="12" t="s">
        <v>1133</v>
      </c>
      <c r="H389" s="12" t="s">
        <v>1222</v>
      </c>
      <c r="I389" s="8" t="s">
        <v>13</v>
      </c>
    </row>
    <row r="390" spans="1:9" ht="25.5">
      <c r="A390" s="12" t="s">
        <v>919</v>
      </c>
      <c r="B390" s="8">
        <v>2020</v>
      </c>
      <c r="C390" s="12" t="s">
        <v>1028</v>
      </c>
      <c r="D390" s="9">
        <f>2503.4*1.21</f>
        <v>3029.114</v>
      </c>
      <c r="E390" s="14">
        <v>44158</v>
      </c>
      <c r="F390" s="10">
        <v>44185</v>
      </c>
      <c r="G390" s="12" t="s">
        <v>1134</v>
      </c>
      <c r="H390" s="12" t="s">
        <v>1223</v>
      </c>
      <c r="I390" s="8" t="s">
        <v>13</v>
      </c>
    </row>
    <row r="391" spans="1:9">
      <c r="A391" s="12" t="s">
        <v>920</v>
      </c>
      <c r="B391" s="8">
        <v>2020</v>
      </c>
      <c r="C391" s="12" t="s">
        <v>1029</v>
      </c>
      <c r="D391" s="9">
        <f>3000*1.21</f>
        <v>3630</v>
      </c>
      <c r="E391" s="14">
        <v>44158</v>
      </c>
      <c r="F391" s="10">
        <v>44185</v>
      </c>
      <c r="G391" s="12" t="s">
        <v>1135</v>
      </c>
      <c r="H391" s="12" t="s">
        <v>1224</v>
      </c>
      <c r="I391" s="8" t="s">
        <v>13</v>
      </c>
    </row>
    <row r="392" spans="1:9" ht="25.5">
      <c r="A392" s="12" t="s">
        <v>921</v>
      </c>
      <c r="B392" s="8">
        <v>2020</v>
      </c>
      <c r="C392" s="12" t="s">
        <v>1030</v>
      </c>
      <c r="D392" s="9">
        <f>618.85*1.21</f>
        <v>748.80849999999998</v>
      </c>
      <c r="E392" s="14">
        <v>44159</v>
      </c>
      <c r="F392" s="10">
        <v>44196</v>
      </c>
      <c r="G392" s="12" t="s">
        <v>1136</v>
      </c>
      <c r="H392" s="12" t="s">
        <v>1225</v>
      </c>
      <c r="I392" s="8" t="s">
        <v>13</v>
      </c>
    </row>
    <row r="393" spans="1:9" ht="25.5">
      <c r="A393" s="12" t="s">
        <v>922</v>
      </c>
      <c r="B393" s="8">
        <v>2020</v>
      </c>
      <c r="C393" s="12" t="s">
        <v>1031</v>
      </c>
      <c r="D393" s="9">
        <f>1087.43*1.21</f>
        <v>1315.7903000000001</v>
      </c>
      <c r="E393" s="14">
        <v>44155</v>
      </c>
      <c r="F393" s="10">
        <v>44196</v>
      </c>
      <c r="G393" s="12" t="s">
        <v>1137</v>
      </c>
      <c r="H393" s="12" t="s">
        <v>1226</v>
      </c>
      <c r="I393" s="8" t="s">
        <v>13</v>
      </c>
    </row>
    <row r="394" spans="1:9" ht="25.5">
      <c r="A394" s="12" t="s">
        <v>923</v>
      </c>
      <c r="B394" s="8">
        <v>2020</v>
      </c>
      <c r="C394" s="12" t="s">
        <v>1032</v>
      </c>
      <c r="D394" s="9">
        <v>175</v>
      </c>
      <c r="E394" s="14">
        <v>44182</v>
      </c>
      <c r="F394" s="10">
        <v>44196</v>
      </c>
      <c r="G394" s="12" t="s">
        <v>1138</v>
      </c>
      <c r="H394" s="12" t="s">
        <v>1227</v>
      </c>
      <c r="I394" s="8" t="s">
        <v>13</v>
      </c>
    </row>
    <row r="395" spans="1:9" ht="25.5">
      <c r="A395" s="12" t="s">
        <v>923</v>
      </c>
      <c r="B395" s="8">
        <v>2020</v>
      </c>
      <c r="C395" s="12" t="s">
        <v>1032</v>
      </c>
      <c r="D395" s="9">
        <v>200</v>
      </c>
      <c r="E395" s="14">
        <v>44182</v>
      </c>
      <c r="F395" s="10">
        <v>44196</v>
      </c>
      <c r="G395" s="12" t="s">
        <v>1139</v>
      </c>
      <c r="H395" s="12" t="s">
        <v>1228</v>
      </c>
      <c r="I395" s="8" t="s">
        <v>13</v>
      </c>
    </row>
    <row r="396" spans="1:9" ht="25.5">
      <c r="A396" s="12" t="s">
        <v>923</v>
      </c>
      <c r="B396" s="8">
        <v>2020</v>
      </c>
      <c r="C396" s="12" t="s">
        <v>1032</v>
      </c>
      <c r="D396" s="9">
        <v>240</v>
      </c>
      <c r="E396" s="14">
        <v>44182</v>
      </c>
      <c r="F396" s="10">
        <v>44196</v>
      </c>
      <c r="G396" s="12" t="s">
        <v>1140</v>
      </c>
      <c r="H396" s="12" t="s">
        <v>1229</v>
      </c>
      <c r="I396" s="8" t="s">
        <v>13</v>
      </c>
    </row>
    <row r="397" spans="1:9">
      <c r="A397" s="12" t="s">
        <v>924</v>
      </c>
      <c r="B397" s="8">
        <v>2020</v>
      </c>
      <c r="C397" s="12" t="s">
        <v>1033</v>
      </c>
      <c r="D397" s="9">
        <f>439.08*1.21</f>
        <v>531.28679999999997</v>
      </c>
      <c r="E397" s="14">
        <v>44158</v>
      </c>
      <c r="F397" s="10">
        <f>E397+30</f>
        <v>44188</v>
      </c>
      <c r="G397" s="12" t="s">
        <v>1141</v>
      </c>
      <c r="H397" s="12" t="s">
        <v>1230</v>
      </c>
      <c r="I397" s="8" t="s">
        <v>13</v>
      </c>
    </row>
    <row r="398" spans="1:9">
      <c r="A398" s="12" t="s">
        <v>925</v>
      </c>
      <c r="B398" s="8">
        <v>2020</v>
      </c>
      <c r="C398" s="12" t="s">
        <v>1034</v>
      </c>
      <c r="D398" s="9">
        <f>395.1*1.21</f>
        <v>478.07100000000003</v>
      </c>
      <c r="E398" s="14">
        <v>44155</v>
      </c>
      <c r="F398" s="10">
        <v>44196</v>
      </c>
      <c r="G398" s="12" t="s">
        <v>1142</v>
      </c>
      <c r="H398" s="12" t="s">
        <v>1231</v>
      </c>
      <c r="I398" s="8" t="s">
        <v>13</v>
      </c>
    </row>
    <row r="399" spans="1:9">
      <c r="A399" s="12" t="s">
        <v>926</v>
      </c>
      <c r="B399" s="8">
        <v>2020</v>
      </c>
      <c r="C399" s="12" t="s">
        <v>1035</v>
      </c>
      <c r="D399" s="9">
        <f>130.73*1.04</f>
        <v>135.95919999999998</v>
      </c>
      <c r="E399" s="14">
        <v>44161</v>
      </c>
      <c r="F399" s="10">
        <v>44196</v>
      </c>
      <c r="G399" s="12" t="s">
        <v>1143</v>
      </c>
      <c r="H399" s="12" t="s">
        <v>1232</v>
      </c>
      <c r="I399" s="8" t="s">
        <v>13</v>
      </c>
    </row>
    <row r="400" spans="1:9">
      <c r="A400" s="12" t="s">
        <v>927</v>
      </c>
      <c r="B400" s="8">
        <v>2020</v>
      </c>
      <c r="C400" s="12" t="s">
        <v>1036</v>
      </c>
      <c r="D400" s="9">
        <f>1954*1.21</f>
        <v>2364.34</v>
      </c>
      <c r="E400" s="14">
        <v>44176</v>
      </c>
      <c r="F400" s="10">
        <f>E400+28</f>
        <v>44204</v>
      </c>
      <c r="G400" s="12" t="s">
        <v>1144</v>
      </c>
      <c r="H400" s="12" t="s">
        <v>1233</v>
      </c>
      <c r="I400" s="8" t="s">
        <v>13</v>
      </c>
    </row>
    <row r="401" spans="1:9">
      <c r="A401" s="12" t="s">
        <v>928</v>
      </c>
      <c r="B401" s="8">
        <v>2020</v>
      </c>
      <c r="C401" s="12" t="s">
        <v>1037</v>
      </c>
      <c r="D401" s="9">
        <v>9913</v>
      </c>
      <c r="E401" s="14">
        <v>44165</v>
      </c>
      <c r="F401" s="10">
        <v>44286</v>
      </c>
      <c r="G401" s="12" t="s">
        <v>1145</v>
      </c>
      <c r="H401" s="12" t="s">
        <v>1234</v>
      </c>
      <c r="I401" s="8" t="s">
        <v>13</v>
      </c>
    </row>
    <row r="402" spans="1:9">
      <c r="A402" s="12" t="s">
        <v>929</v>
      </c>
      <c r="B402" s="8">
        <v>2020</v>
      </c>
      <c r="C402" s="12" t="s">
        <v>1038</v>
      </c>
      <c r="D402" s="9">
        <f>480.77*1.04</f>
        <v>500.00080000000003</v>
      </c>
      <c r="E402" s="14">
        <v>44155</v>
      </c>
      <c r="F402" s="10">
        <v>44196</v>
      </c>
      <c r="G402" s="12" t="s">
        <v>1146</v>
      </c>
      <c r="H402" s="12" t="s">
        <v>1235</v>
      </c>
      <c r="I402" s="8" t="s">
        <v>13</v>
      </c>
    </row>
    <row r="403" spans="1:9">
      <c r="A403" s="12" t="s">
        <v>930</v>
      </c>
      <c r="B403" s="8">
        <v>2020</v>
      </c>
      <c r="C403" s="12" t="s">
        <v>1039</v>
      </c>
      <c r="D403" s="9">
        <f>899*1.21</f>
        <v>1087.79</v>
      </c>
      <c r="E403" s="14">
        <v>44165</v>
      </c>
      <c r="F403" s="10">
        <v>44165</v>
      </c>
      <c r="G403" s="12" t="s">
        <v>1147</v>
      </c>
      <c r="H403" s="12" t="s">
        <v>1236</v>
      </c>
      <c r="I403" s="8" t="s">
        <v>13</v>
      </c>
    </row>
    <row r="404" spans="1:9">
      <c r="A404" s="12" t="s">
        <v>931</v>
      </c>
      <c r="B404" s="8">
        <v>2020</v>
      </c>
      <c r="C404" s="12" t="s">
        <v>1040</v>
      </c>
      <c r="D404" s="9">
        <f>5000*1.21</f>
        <v>6050</v>
      </c>
      <c r="E404" s="14">
        <v>44166</v>
      </c>
      <c r="F404" s="10">
        <v>44227</v>
      </c>
      <c r="G404" s="12" t="s">
        <v>1148</v>
      </c>
      <c r="H404" s="12" t="s">
        <v>1237</v>
      </c>
      <c r="I404" s="8" t="s">
        <v>13</v>
      </c>
    </row>
    <row r="405" spans="1:9">
      <c r="A405" s="12" t="s">
        <v>932</v>
      </c>
      <c r="B405" s="8">
        <v>2020</v>
      </c>
      <c r="C405" s="12" t="s">
        <v>1041</v>
      </c>
      <c r="D405" s="9">
        <f>3500*1.21</f>
        <v>4235</v>
      </c>
      <c r="E405" s="14">
        <v>44165</v>
      </c>
      <c r="F405" s="10">
        <v>44196</v>
      </c>
      <c r="G405" s="12" t="s">
        <v>1149</v>
      </c>
      <c r="H405" s="12" t="s">
        <v>1238</v>
      </c>
      <c r="I405" s="8" t="s">
        <v>13</v>
      </c>
    </row>
    <row r="406" spans="1:9">
      <c r="A406" s="12" t="s">
        <v>933</v>
      </c>
      <c r="B406" s="8">
        <v>2020</v>
      </c>
      <c r="C406" s="12" t="s">
        <v>1042</v>
      </c>
      <c r="D406" s="9">
        <f>568*1.21</f>
        <v>687.28</v>
      </c>
      <c r="E406" s="14">
        <v>44171</v>
      </c>
      <c r="F406" s="10">
        <f>E406+30</f>
        <v>44201</v>
      </c>
      <c r="G406" s="12" t="s">
        <v>1150</v>
      </c>
      <c r="H406" s="12" t="s">
        <v>1239</v>
      </c>
      <c r="I406" s="8" t="s">
        <v>13</v>
      </c>
    </row>
    <row r="407" spans="1:9">
      <c r="A407" s="12" t="s">
        <v>934</v>
      </c>
      <c r="B407" s="8">
        <v>2020</v>
      </c>
      <c r="C407" s="12" t="s">
        <v>1043</v>
      </c>
      <c r="D407" s="9">
        <f>6400*1.21</f>
        <v>7744</v>
      </c>
      <c r="E407" s="14">
        <v>44166</v>
      </c>
      <c r="F407" s="10">
        <v>44196</v>
      </c>
      <c r="G407" s="12" t="s">
        <v>1149</v>
      </c>
      <c r="H407" s="12" t="s">
        <v>1238</v>
      </c>
      <c r="I407" s="8" t="s">
        <v>13</v>
      </c>
    </row>
    <row r="408" spans="1:9">
      <c r="A408" s="12" t="s">
        <v>935</v>
      </c>
      <c r="B408" s="8">
        <v>2020</v>
      </c>
      <c r="C408" s="12" t="s">
        <v>1044</v>
      </c>
      <c r="D408" s="9">
        <f>150*1.21</f>
        <v>181.5</v>
      </c>
      <c r="E408" s="14">
        <v>44171</v>
      </c>
      <c r="F408" s="10">
        <f>E408+30</f>
        <v>44201</v>
      </c>
      <c r="G408" s="12" t="s">
        <v>1151</v>
      </c>
      <c r="H408" s="12" t="s">
        <v>506</v>
      </c>
      <c r="I408" s="8" t="s">
        <v>13</v>
      </c>
    </row>
    <row r="409" spans="1:9">
      <c r="A409" s="12" t="s">
        <v>936</v>
      </c>
      <c r="B409" s="8">
        <v>2020</v>
      </c>
      <c r="C409" s="12" t="s">
        <v>1045</v>
      </c>
      <c r="D409" s="9">
        <f>1383.74*1.21</f>
        <v>1674.3253999999999</v>
      </c>
      <c r="E409" s="14">
        <v>44165</v>
      </c>
      <c r="F409" s="10">
        <v>44196</v>
      </c>
      <c r="G409" s="12" t="s">
        <v>1152</v>
      </c>
      <c r="H409" s="12" t="s">
        <v>1240</v>
      </c>
      <c r="I409" s="8" t="s">
        <v>13</v>
      </c>
    </row>
    <row r="410" spans="1:9" ht="25.5">
      <c r="A410" s="12" t="s">
        <v>937</v>
      </c>
      <c r="B410" s="8">
        <v>2020</v>
      </c>
      <c r="C410" s="12" t="s">
        <v>1046</v>
      </c>
      <c r="D410" s="9">
        <f>1113.17*1.21</f>
        <v>1346.9357</v>
      </c>
      <c r="E410" s="14">
        <v>44171</v>
      </c>
      <c r="F410" s="10">
        <f>E410+3</f>
        <v>44174</v>
      </c>
      <c r="G410" s="12" t="s">
        <v>1153</v>
      </c>
      <c r="H410" s="12" t="s">
        <v>1241</v>
      </c>
      <c r="I410" s="8" t="s">
        <v>13</v>
      </c>
    </row>
    <row r="411" spans="1:9">
      <c r="A411" s="12" t="s">
        <v>938</v>
      </c>
      <c r="B411" s="8">
        <v>2020</v>
      </c>
      <c r="C411" s="12" t="s">
        <v>1047</v>
      </c>
      <c r="D411" s="9">
        <f>2593.06*1.21</f>
        <v>3137.6025999999997</v>
      </c>
      <c r="E411" s="14">
        <v>44187</v>
      </c>
      <c r="F411" s="10">
        <v>44561</v>
      </c>
      <c r="G411" s="12" t="s">
        <v>1154</v>
      </c>
      <c r="H411" s="12" t="s">
        <v>1242</v>
      </c>
      <c r="I411" s="8" t="s">
        <v>13</v>
      </c>
    </row>
    <row r="412" spans="1:9" ht="25.5">
      <c r="A412" s="12" t="s">
        <v>939</v>
      </c>
      <c r="B412" s="8">
        <v>2020</v>
      </c>
      <c r="C412" s="12" t="s">
        <v>1048</v>
      </c>
      <c r="D412" s="9">
        <f>350*1.21</f>
        <v>423.5</v>
      </c>
      <c r="E412" s="14">
        <v>44168</v>
      </c>
      <c r="F412" s="10">
        <f>E412+30</f>
        <v>44198</v>
      </c>
      <c r="G412" s="12" t="s">
        <v>1155</v>
      </c>
      <c r="H412" s="12" t="s">
        <v>552</v>
      </c>
      <c r="I412" s="8" t="s">
        <v>13</v>
      </c>
    </row>
    <row r="413" spans="1:9">
      <c r="A413" s="12" t="s">
        <v>940</v>
      </c>
      <c r="B413" s="8">
        <v>2020</v>
      </c>
      <c r="C413" s="12" t="s">
        <v>1049</v>
      </c>
      <c r="D413" s="9">
        <f>232.5*1.21</f>
        <v>281.32499999999999</v>
      </c>
      <c r="E413" s="14">
        <v>44183</v>
      </c>
      <c r="F413" s="10">
        <f>E413+30</f>
        <v>44213</v>
      </c>
      <c r="G413" s="12" t="s">
        <v>1156</v>
      </c>
      <c r="H413" s="12" t="s">
        <v>283</v>
      </c>
      <c r="I413" s="8" t="s">
        <v>13</v>
      </c>
    </row>
    <row r="414" spans="1:9">
      <c r="A414" s="12" t="s">
        <v>941</v>
      </c>
      <c r="B414" s="8">
        <v>2020</v>
      </c>
      <c r="C414" s="12" t="s">
        <v>1050</v>
      </c>
      <c r="D414" s="9">
        <f>630*1.21</f>
        <v>762.3</v>
      </c>
      <c r="E414" s="14">
        <v>44169</v>
      </c>
      <c r="F414" s="10">
        <v>44185</v>
      </c>
      <c r="G414" s="12" t="s">
        <v>1157</v>
      </c>
      <c r="H414" s="12" t="s">
        <v>704</v>
      </c>
      <c r="I414" s="8" t="s">
        <v>13</v>
      </c>
    </row>
    <row r="415" spans="1:9">
      <c r="A415" s="12" t="s">
        <v>942</v>
      </c>
      <c r="B415" s="8">
        <v>2020</v>
      </c>
      <c r="C415" s="12" t="s">
        <v>1051</v>
      </c>
      <c r="D415" s="9">
        <f>562.83*1.21</f>
        <v>681.02430000000004</v>
      </c>
      <c r="E415" s="14">
        <v>44158</v>
      </c>
      <c r="F415" s="10">
        <v>44183</v>
      </c>
      <c r="G415" s="12" t="s">
        <v>1158</v>
      </c>
      <c r="H415" s="12" t="s">
        <v>1243</v>
      </c>
      <c r="I415" s="8" t="s">
        <v>13</v>
      </c>
    </row>
    <row r="416" spans="1:9">
      <c r="A416" s="12" t="s">
        <v>943</v>
      </c>
      <c r="B416" s="8">
        <v>2020</v>
      </c>
      <c r="C416" s="12" t="s">
        <v>1052</v>
      </c>
      <c r="D416" s="9">
        <f>3250.8*1.21</f>
        <v>3933.4680000000003</v>
      </c>
      <c r="E416" s="14">
        <v>44169</v>
      </c>
      <c r="F416" s="10">
        <f>E416+30</f>
        <v>44199</v>
      </c>
      <c r="G416" s="12" t="s">
        <v>1159</v>
      </c>
      <c r="H416" s="12" t="s">
        <v>509</v>
      </c>
      <c r="I416" s="8" t="s">
        <v>13</v>
      </c>
    </row>
    <row r="417" spans="1:9">
      <c r="A417" s="12" t="s">
        <v>944</v>
      </c>
      <c r="B417" s="8">
        <v>2020</v>
      </c>
      <c r="C417" s="12" t="s">
        <v>1053</v>
      </c>
      <c r="D417" s="9">
        <f>400*1.21</f>
        <v>484</v>
      </c>
      <c r="E417" s="14">
        <v>44183</v>
      </c>
      <c r="F417" s="10">
        <v>44201</v>
      </c>
      <c r="G417" s="12" t="s">
        <v>1116</v>
      </c>
      <c r="H417" s="12" t="s">
        <v>336</v>
      </c>
      <c r="I417" s="8" t="s">
        <v>13</v>
      </c>
    </row>
    <row r="418" spans="1:9">
      <c r="A418" s="12" t="s">
        <v>945</v>
      </c>
      <c r="B418" s="8">
        <v>2020</v>
      </c>
      <c r="C418" s="12" t="s">
        <v>1054</v>
      </c>
      <c r="D418" s="9">
        <f>2640*1.21</f>
        <v>3194.4</v>
      </c>
      <c r="E418" s="14">
        <v>44174</v>
      </c>
      <c r="F418" s="10">
        <f>E418+30</f>
        <v>44204</v>
      </c>
      <c r="G418" s="12" t="s">
        <v>1160</v>
      </c>
      <c r="H418" s="12" t="s">
        <v>1244</v>
      </c>
      <c r="I418" s="8" t="s">
        <v>13</v>
      </c>
    </row>
    <row r="419" spans="1:9">
      <c r="A419" s="12" t="s">
        <v>946</v>
      </c>
      <c r="B419" s="8">
        <v>2020</v>
      </c>
      <c r="C419" s="12" t="s">
        <v>1055</v>
      </c>
      <c r="D419" s="9">
        <f>207.9*1.21</f>
        <v>251.559</v>
      </c>
      <c r="E419" s="14">
        <v>44166</v>
      </c>
      <c r="F419" s="10">
        <f>E419+15</f>
        <v>44181</v>
      </c>
      <c r="G419" s="12" t="s">
        <v>1161</v>
      </c>
      <c r="H419" s="12" t="s">
        <v>1245</v>
      </c>
      <c r="I419" s="8" t="s">
        <v>13</v>
      </c>
    </row>
    <row r="420" spans="1:9">
      <c r="A420" s="12" t="s">
        <v>947</v>
      </c>
      <c r="B420" s="8">
        <v>2020</v>
      </c>
      <c r="C420" s="12" t="s">
        <v>1056</v>
      </c>
      <c r="D420" s="9">
        <f>2784*1.21</f>
        <v>3368.64</v>
      </c>
      <c r="E420" s="14">
        <v>44189</v>
      </c>
      <c r="F420" s="10">
        <f>E420+30</f>
        <v>44219</v>
      </c>
      <c r="G420" s="12" t="s">
        <v>1162</v>
      </c>
      <c r="H420" s="12" t="s">
        <v>776</v>
      </c>
      <c r="I420" s="8" t="s">
        <v>13</v>
      </c>
    </row>
    <row r="421" spans="1:9">
      <c r="A421" s="12" t="s">
        <v>948</v>
      </c>
      <c r="B421" s="8">
        <v>2020</v>
      </c>
      <c r="C421" s="12" t="s">
        <v>1057</v>
      </c>
      <c r="D421" s="9">
        <f>883.02*1.21</f>
        <v>1068.4541999999999</v>
      </c>
      <c r="E421" s="14">
        <v>44188</v>
      </c>
      <c r="F421" s="10">
        <f>E421+30</f>
        <v>44218</v>
      </c>
      <c r="G421" s="12" t="s">
        <v>1163</v>
      </c>
      <c r="H421" s="12" t="s">
        <v>1226</v>
      </c>
      <c r="I421" s="8" t="s">
        <v>13</v>
      </c>
    </row>
    <row r="422" spans="1:9">
      <c r="A422" s="12" t="s">
        <v>949</v>
      </c>
      <c r="B422" s="8">
        <v>2020</v>
      </c>
      <c r="C422" s="12" t="s">
        <v>1058</v>
      </c>
      <c r="D422" s="9">
        <f>28.51*1.21</f>
        <v>34.497100000000003</v>
      </c>
      <c r="E422" s="14">
        <v>44186</v>
      </c>
      <c r="F422" s="10">
        <f>E422+30</f>
        <v>44216</v>
      </c>
      <c r="G422" s="12" t="s">
        <v>1164</v>
      </c>
      <c r="H422" s="12" t="s">
        <v>1246</v>
      </c>
      <c r="I422" s="8" t="s">
        <v>13</v>
      </c>
    </row>
    <row r="423" spans="1:9">
      <c r="A423" s="12" t="s">
        <v>950</v>
      </c>
      <c r="B423" s="8">
        <v>2020</v>
      </c>
      <c r="C423" s="12" t="s">
        <v>1059</v>
      </c>
      <c r="D423" s="9">
        <f>156*1.21</f>
        <v>188.76</v>
      </c>
      <c r="E423" s="14">
        <v>44181</v>
      </c>
      <c r="F423" s="10">
        <f>E423+30</f>
        <v>44211</v>
      </c>
      <c r="G423" s="12" t="s">
        <v>1165</v>
      </c>
      <c r="H423" s="12" t="s">
        <v>1247</v>
      </c>
      <c r="I423" s="8" t="s">
        <v>13</v>
      </c>
    </row>
    <row r="424" spans="1:9" ht="25.5">
      <c r="A424" s="12" t="s">
        <v>951</v>
      </c>
      <c r="B424" s="8">
        <v>2020</v>
      </c>
      <c r="C424" s="12" t="s">
        <v>1060</v>
      </c>
      <c r="D424" s="9">
        <f>3000*1.21</f>
        <v>3630</v>
      </c>
      <c r="E424" s="14">
        <v>44182</v>
      </c>
      <c r="F424" s="10">
        <f>E424+28</f>
        <v>44210</v>
      </c>
      <c r="G424" s="12" t="s">
        <v>1166</v>
      </c>
      <c r="H424" s="12" t="s">
        <v>1248</v>
      </c>
      <c r="I424" s="8" t="s">
        <v>13</v>
      </c>
    </row>
    <row r="425" spans="1:9">
      <c r="A425" s="12" t="s">
        <v>952</v>
      </c>
      <c r="B425" s="8">
        <v>2020</v>
      </c>
      <c r="C425" s="12" t="s">
        <v>1061</v>
      </c>
      <c r="D425" s="9">
        <f>594*1.21</f>
        <v>718.74</v>
      </c>
      <c r="E425" s="14">
        <v>44165</v>
      </c>
      <c r="F425" s="10">
        <f>E425+28</f>
        <v>44193</v>
      </c>
      <c r="G425" s="12" t="s">
        <v>1167</v>
      </c>
      <c r="H425" s="12" t="s">
        <v>1249</v>
      </c>
      <c r="I425" s="8" t="s">
        <v>13</v>
      </c>
    </row>
    <row r="426" spans="1:9" ht="25.5">
      <c r="A426" s="12" t="s">
        <v>953</v>
      </c>
      <c r="B426" s="8">
        <v>2020</v>
      </c>
      <c r="C426" s="12" t="s">
        <v>1062</v>
      </c>
      <c r="D426" s="9">
        <f>327*1.21</f>
        <v>395.67</v>
      </c>
      <c r="E426" s="14">
        <v>44181</v>
      </c>
      <c r="F426" s="10">
        <f>E426+30</f>
        <v>44211</v>
      </c>
      <c r="G426" s="12" t="s">
        <v>1168</v>
      </c>
      <c r="H426" s="12" t="s">
        <v>1250</v>
      </c>
      <c r="I426" s="8" t="s">
        <v>13</v>
      </c>
    </row>
    <row r="427" spans="1:9">
      <c r="A427" s="12" t="s">
        <v>954</v>
      </c>
      <c r="B427" s="8">
        <v>2020</v>
      </c>
      <c r="C427" s="12" t="s">
        <v>1063</v>
      </c>
      <c r="D427" s="9">
        <f>300.39*1.21</f>
        <v>363.47189999999995</v>
      </c>
      <c r="E427" s="14">
        <v>44183</v>
      </c>
      <c r="F427" s="10">
        <v>44227</v>
      </c>
      <c r="G427" s="12" t="s">
        <v>1169</v>
      </c>
      <c r="H427" s="12" t="s">
        <v>1251</v>
      </c>
      <c r="I427" s="8" t="s">
        <v>13</v>
      </c>
    </row>
    <row r="428" spans="1:9">
      <c r="A428" s="12" t="s">
        <v>955</v>
      </c>
      <c r="B428" s="8">
        <v>2020</v>
      </c>
      <c r="C428" s="12" t="s">
        <v>1064</v>
      </c>
      <c r="D428" s="9">
        <f>9830.71*1.21</f>
        <v>11895.159099999999</v>
      </c>
      <c r="E428" s="14">
        <v>44188</v>
      </c>
      <c r="F428" s="10">
        <f>E428+365</f>
        <v>44553</v>
      </c>
      <c r="G428" s="12" t="s">
        <v>1170</v>
      </c>
      <c r="H428" s="12" t="s">
        <v>1252</v>
      </c>
      <c r="I428" s="8" t="s">
        <v>13</v>
      </c>
    </row>
    <row r="429" spans="1:9">
      <c r="A429" s="12" t="s">
        <v>956</v>
      </c>
      <c r="B429" s="8">
        <v>2020</v>
      </c>
      <c r="C429" s="12" t="s">
        <v>1065</v>
      </c>
      <c r="D429" s="9">
        <f>405*1.21</f>
        <v>490.05</v>
      </c>
      <c r="E429" s="14">
        <v>44175</v>
      </c>
      <c r="F429" s="14">
        <v>44175</v>
      </c>
      <c r="G429" s="12" t="s">
        <v>1171</v>
      </c>
      <c r="H429" s="12" t="s">
        <v>502</v>
      </c>
      <c r="I429" s="8" t="s">
        <v>13</v>
      </c>
    </row>
    <row r="430" spans="1:9">
      <c r="A430" s="12" t="s">
        <v>956</v>
      </c>
      <c r="B430" s="8">
        <v>2020</v>
      </c>
      <c r="C430" s="12" t="s">
        <v>1066</v>
      </c>
      <c r="D430" s="9">
        <f>369*1.21</f>
        <v>446.49</v>
      </c>
      <c r="E430" s="14">
        <v>44175</v>
      </c>
      <c r="F430" s="14">
        <v>44175</v>
      </c>
      <c r="G430" s="12" t="s">
        <v>411</v>
      </c>
      <c r="H430" s="12" t="s">
        <v>337</v>
      </c>
      <c r="I430" s="8" t="s">
        <v>13</v>
      </c>
    </row>
    <row r="431" spans="1:9">
      <c r="A431" s="12" t="s">
        <v>956</v>
      </c>
      <c r="B431" s="8">
        <v>2020</v>
      </c>
      <c r="C431" s="12" t="s">
        <v>1067</v>
      </c>
      <c r="D431" s="9">
        <f>308*1.21</f>
        <v>372.68</v>
      </c>
      <c r="E431" s="14">
        <v>44175</v>
      </c>
      <c r="F431" s="14">
        <v>44175</v>
      </c>
      <c r="G431" s="12" t="s">
        <v>1172</v>
      </c>
      <c r="H431" s="12" t="s">
        <v>334</v>
      </c>
      <c r="I431" s="8" t="s">
        <v>13</v>
      </c>
    </row>
    <row r="432" spans="1:9" ht="25.5">
      <c r="A432" s="12" t="s">
        <v>957</v>
      </c>
      <c r="B432" s="8">
        <v>2020</v>
      </c>
      <c r="C432" s="12" t="s">
        <v>1068</v>
      </c>
      <c r="D432" s="9">
        <f>317.2*1.21</f>
        <v>383.81199999999995</v>
      </c>
      <c r="E432" s="14">
        <v>44175</v>
      </c>
      <c r="F432" s="10">
        <f>E432+30</f>
        <v>44205</v>
      </c>
      <c r="G432" s="12" t="s">
        <v>1173</v>
      </c>
      <c r="H432" s="12" t="s">
        <v>1253</v>
      </c>
      <c r="I432" s="8" t="s">
        <v>13</v>
      </c>
    </row>
    <row r="433" spans="1:9">
      <c r="A433" s="12" t="s">
        <v>958</v>
      </c>
      <c r="B433" s="8">
        <v>2020</v>
      </c>
      <c r="C433" s="12" t="s">
        <v>1069</v>
      </c>
      <c r="D433" s="9">
        <f>2650*1.21</f>
        <v>3206.5</v>
      </c>
      <c r="E433" s="14">
        <v>44174</v>
      </c>
      <c r="F433" s="10">
        <f>E433+30</f>
        <v>44204</v>
      </c>
      <c r="G433" s="12" t="s">
        <v>1174</v>
      </c>
      <c r="H433" s="12" t="s">
        <v>1254</v>
      </c>
      <c r="I433" s="8" t="s">
        <v>13</v>
      </c>
    </row>
    <row r="434" spans="1:9">
      <c r="A434" s="12" t="s">
        <v>959</v>
      </c>
      <c r="B434" s="8">
        <v>2020</v>
      </c>
      <c r="C434" s="12" t="s">
        <v>1070</v>
      </c>
      <c r="D434" s="9">
        <f>166.9*1.1</f>
        <v>183.59000000000003</v>
      </c>
      <c r="E434" s="14">
        <v>44171</v>
      </c>
      <c r="F434" s="10">
        <f>E434+30</f>
        <v>44201</v>
      </c>
      <c r="G434" s="12" t="s">
        <v>1175</v>
      </c>
      <c r="H434" s="12" t="s">
        <v>1255</v>
      </c>
      <c r="I434" s="8" t="s">
        <v>13</v>
      </c>
    </row>
    <row r="435" spans="1:9">
      <c r="A435" s="12" t="s">
        <v>960</v>
      </c>
      <c r="B435" s="8">
        <v>2020</v>
      </c>
      <c r="C435" s="12" t="s">
        <v>1071</v>
      </c>
      <c r="D435" s="9">
        <f>2652*1.21</f>
        <v>3208.92</v>
      </c>
      <c r="E435" s="14">
        <v>44188</v>
      </c>
      <c r="F435" s="10">
        <f>E435+28</f>
        <v>44216</v>
      </c>
      <c r="G435" s="12" t="s">
        <v>1144</v>
      </c>
      <c r="H435" s="12" t="s">
        <v>1233</v>
      </c>
      <c r="I435" s="8" t="s">
        <v>13</v>
      </c>
    </row>
    <row r="436" spans="1:9">
      <c r="A436" s="12" t="s">
        <v>961</v>
      </c>
      <c r="B436" s="8">
        <v>2020</v>
      </c>
      <c r="C436" s="12" t="s">
        <v>1072</v>
      </c>
      <c r="D436" s="9">
        <f>5000*1.21</f>
        <v>6050</v>
      </c>
      <c r="E436" s="14">
        <v>44175</v>
      </c>
      <c r="F436" s="10">
        <f>E436+30</f>
        <v>44205</v>
      </c>
      <c r="G436" s="12" t="s">
        <v>1176</v>
      </c>
      <c r="H436" s="12" t="s">
        <v>1256</v>
      </c>
      <c r="I436" s="8" t="s">
        <v>13</v>
      </c>
    </row>
    <row r="437" spans="1:9" ht="25.5">
      <c r="A437" s="12" t="s">
        <v>1669</v>
      </c>
      <c r="B437" s="8">
        <v>2020</v>
      </c>
      <c r="C437" s="12" t="s">
        <v>1670</v>
      </c>
      <c r="D437" s="9">
        <f>8000*1.21</f>
        <v>9680</v>
      </c>
      <c r="E437" s="14">
        <v>44174</v>
      </c>
      <c r="F437" s="10">
        <v>44176</v>
      </c>
      <c r="G437" s="12" t="s">
        <v>1672</v>
      </c>
      <c r="H437" s="12" t="s">
        <v>1671</v>
      </c>
      <c r="I437" s="8" t="s">
        <v>13</v>
      </c>
    </row>
    <row r="438" spans="1:9">
      <c r="A438" s="12" t="s">
        <v>962</v>
      </c>
      <c r="B438" s="8">
        <v>2020</v>
      </c>
      <c r="C438" s="12" t="s">
        <v>1073</v>
      </c>
      <c r="D438" s="9">
        <f>500*1.21</f>
        <v>605</v>
      </c>
      <c r="E438" s="14">
        <v>44174</v>
      </c>
      <c r="F438" s="10">
        <v>44227</v>
      </c>
      <c r="G438" s="12" t="s">
        <v>1129</v>
      </c>
      <c r="H438" s="12" t="s">
        <v>349</v>
      </c>
      <c r="I438" s="8" t="s">
        <v>13</v>
      </c>
    </row>
    <row r="439" spans="1:9" ht="38.25">
      <c r="A439" s="12" t="s">
        <v>963</v>
      </c>
      <c r="B439" s="8">
        <v>2020</v>
      </c>
      <c r="C439" s="12" t="s">
        <v>1074</v>
      </c>
      <c r="D439" s="9">
        <f>2154.17*1.21</f>
        <v>2606.5457000000001</v>
      </c>
      <c r="E439" s="14">
        <v>44186</v>
      </c>
      <c r="F439" s="10">
        <f>E439+28</f>
        <v>44214</v>
      </c>
      <c r="G439" s="12" t="s">
        <v>1177</v>
      </c>
      <c r="H439" s="12" t="s">
        <v>315</v>
      </c>
      <c r="I439" s="8" t="s">
        <v>13</v>
      </c>
    </row>
    <row r="440" spans="1:9">
      <c r="A440" s="12" t="s">
        <v>964</v>
      </c>
      <c r="B440" s="8">
        <v>2020</v>
      </c>
      <c r="C440" s="12" t="s">
        <v>1075</v>
      </c>
      <c r="D440" s="9">
        <f>2852.68*1.21</f>
        <v>3451.7427999999995</v>
      </c>
      <c r="E440" s="14">
        <v>44174</v>
      </c>
      <c r="F440" s="10">
        <f>E440+30</f>
        <v>44204</v>
      </c>
      <c r="G440" s="12" t="s">
        <v>1178</v>
      </c>
      <c r="H440" s="12" t="s">
        <v>499</v>
      </c>
      <c r="I440" s="8" t="s">
        <v>13</v>
      </c>
    </row>
    <row r="441" spans="1:9">
      <c r="A441" s="12" t="s">
        <v>965</v>
      </c>
      <c r="B441" s="8">
        <v>2020</v>
      </c>
      <c r="C441" s="12" t="s">
        <v>1076</v>
      </c>
      <c r="D441" s="9">
        <f>1352*1.21</f>
        <v>1635.9199999999998</v>
      </c>
      <c r="E441" s="14">
        <v>44188</v>
      </c>
      <c r="F441" s="10">
        <f>E441+30</f>
        <v>44218</v>
      </c>
      <c r="G441" s="12" t="s">
        <v>1179</v>
      </c>
      <c r="H441" s="12" t="s">
        <v>1257</v>
      </c>
      <c r="I441" s="8" t="s">
        <v>13</v>
      </c>
    </row>
    <row r="442" spans="1:9">
      <c r="A442" s="12" t="s">
        <v>1500</v>
      </c>
      <c r="B442" s="8">
        <v>2020</v>
      </c>
      <c r="C442" s="12" t="s">
        <v>1501</v>
      </c>
      <c r="D442" s="9">
        <v>2411.02</v>
      </c>
      <c r="E442" s="14">
        <v>44180</v>
      </c>
      <c r="F442" s="10">
        <f>E442+30</f>
        <v>44210</v>
      </c>
      <c r="G442" s="12" t="s">
        <v>1502</v>
      </c>
      <c r="H442" s="12" t="s">
        <v>298</v>
      </c>
      <c r="I442" s="8" t="s">
        <v>13</v>
      </c>
    </row>
    <row r="443" spans="1:9">
      <c r="A443" s="12" t="s">
        <v>966</v>
      </c>
      <c r="B443" s="8">
        <v>2020</v>
      </c>
      <c r="C443" s="12" t="s">
        <v>1077</v>
      </c>
      <c r="D443" s="9">
        <f>408*1.21</f>
        <v>493.68</v>
      </c>
      <c r="E443" s="14">
        <v>44182</v>
      </c>
      <c r="F443" s="10">
        <f>E443+30</f>
        <v>44212</v>
      </c>
      <c r="G443" s="12" t="s">
        <v>1180</v>
      </c>
      <c r="H443" s="12" t="s">
        <v>1258</v>
      </c>
      <c r="I443" s="8" t="s">
        <v>13</v>
      </c>
    </row>
    <row r="444" spans="1:9">
      <c r="A444" s="12" t="s">
        <v>967</v>
      </c>
      <c r="B444" s="8">
        <v>2020</v>
      </c>
      <c r="C444" s="12" t="s">
        <v>1078</v>
      </c>
      <c r="D444" s="9">
        <v>1496</v>
      </c>
      <c r="E444" s="14">
        <v>44182</v>
      </c>
      <c r="F444" s="10">
        <f>E444+180</f>
        <v>44362</v>
      </c>
      <c r="G444" s="12" t="s">
        <v>1181</v>
      </c>
      <c r="H444" s="12" t="s">
        <v>551</v>
      </c>
      <c r="I444" s="8" t="s">
        <v>13</v>
      </c>
    </row>
    <row r="445" spans="1:9">
      <c r="A445" s="12" t="s">
        <v>968</v>
      </c>
      <c r="B445" s="8">
        <v>2020</v>
      </c>
      <c r="C445" s="12" t="s">
        <v>1079</v>
      </c>
      <c r="D445" s="9">
        <f>984*1.21</f>
        <v>1190.6399999999999</v>
      </c>
      <c r="E445" s="14">
        <v>44182</v>
      </c>
      <c r="F445" s="10">
        <f>E445+180</f>
        <v>44362</v>
      </c>
      <c r="G445" s="12" t="s">
        <v>1182</v>
      </c>
      <c r="H445" s="12" t="s">
        <v>668</v>
      </c>
      <c r="I445" s="8" t="s">
        <v>13</v>
      </c>
    </row>
    <row r="446" spans="1:9" ht="25.5">
      <c r="A446" s="12" t="s">
        <v>969</v>
      </c>
      <c r="B446" s="8">
        <v>2020</v>
      </c>
      <c r="C446" s="12" t="s">
        <v>1080</v>
      </c>
      <c r="D446" s="9">
        <f>1200*1.21</f>
        <v>1452</v>
      </c>
      <c r="E446" s="14">
        <v>44181</v>
      </c>
      <c r="F446" s="10">
        <f>E446+30</f>
        <v>44211</v>
      </c>
      <c r="G446" s="12" t="s">
        <v>1183</v>
      </c>
      <c r="H446" s="12" t="s">
        <v>1259</v>
      </c>
      <c r="I446" s="8" t="s">
        <v>13</v>
      </c>
    </row>
    <row r="447" spans="1:9" s="3" customFormat="1">
      <c r="A447" s="12" t="s">
        <v>970</v>
      </c>
      <c r="B447" s="8">
        <v>2020</v>
      </c>
      <c r="C447" s="12" t="s">
        <v>1081</v>
      </c>
      <c r="D447" s="9">
        <f>325*1.21</f>
        <v>393.25</v>
      </c>
      <c r="E447" s="14">
        <v>44181</v>
      </c>
      <c r="F447" s="10">
        <f>E447+30</f>
        <v>44211</v>
      </c>
      <c r="G447" s="12" t="s">
        <v>1184</v>
      </c>
      <c r="H447" s="12" t="s">
        <v>1260</v>
      </c>
      <c r="I447" s="8" t="s">
        <v>13</v>
      </c>
    </row>
    <row r="448" spans="1:9">
      <c r="A448" s="12" t="s">
        <v>971</v>
      </c>
      <c r="B448" s="8">
        <v>2020</v>
      </c>
      <c r="C448" s="12" t="s">
        <v>1082</v>
      </c>
      <c r="D448" s="9">
        <f>772.5*1.21</f>
        <v>934.72500000000002</v>
      </c>
      <c r="E448" s="14">
        <v>44193</v>
      </c>
      <c r="F448" s="10">
        <v>44196</v>
      </c>
      <c r="G448" s="12" t="s">
        <v>1185</v>
      </c>
      <c r="H448" s="12" t="s">
        <v>1261</v>
      </c>
      <c r="I448" s="8" t="s">
        <v>13</v>
      </c>
    </row>
    <row r="449" spans="1:9">
      <c r="A449" s="12" t="s">
        <v>972</v>
      </c>
      <c r="B449" s="8">
        <v>2020</v>
      </c>
      <c r="C449" s="12" t="s">
        <v>1083</v>
      </c>
      <c r="D449" s="9">
        <f>450*1.21</f>
        <v>544.5</v>
      </c>
      <c r="E449" s="14">
        <v>44189</v>
      </c>
      <c r="F449" s="10">
        <v>44196</v>
      </c>
      <c r="G449" s="12" t="s">
        <v>1186</v>
      </c>
      <c r="H449" s="12" t="s">
        <v>1262</v>
      </c>
      <c r="I449" s="8" t="s">
        <v>13</v>
      </c>
    </row>
    <row r="450" spans="1:9">
      <c r="A450" s="12" t="s">
        <v>973</v>
      </c>
      <c r="B450" s="8">
        <v>2020</v>
      </c>
      <c r="C450" s="12" t="s">
        <v>1084</v>
      </c>
      <c r="D450" s="9">
        <v>186.03</v>
      </c>
      <c r="E450" s="14">
        <v>44180</v>
      </c>
      <c r="F450" s="10">
        <f>E450+21</f>
        <v>44201</v>
      </c>
      <c r="G450" s="12" t="s">
        <v>393</v>
      </c>
      <c r="H450" s="12" t="s">
        <v>320</v>
      </c>
      <c r="I450" s="8" t="s">
        <v>13</v>
      </c>
    </row>
    <row r="451" spans="1:9">
      <c r="A451" s="12" t="s">
        <v>973</v>
      </c>
      <c r="B451" s="8">
        <v>2020</v>
      </c>
      <c r="C451" s="12" t="s">
        <v>1084</v>
      </c>
      <c r="D451" s="9">
        <v>455.03</v>
      </c>
      <c r="E451" s="14">
        <v>44180</v>
      </c>
      <c r="F451" s="10">
        <f>E451+21</f>
        <v>44201</v>
      </c>
      <c r="G451" s="12" t="s">
        <v>393</v>
      </c>
      <c r="H451" s="12" t="s">
        <v>320</v>
      </c>
      <c r="I451" s="8" t="s">
        <v>13</v>
      </c>
    </row>
    <row r="452" spans="1:9" ht="25.5">
      <c r="A452" s="12" t="s">
        <v>974</v>
      </c>
      <c r="B452" s="8">
        <v>2020</v>
      </c>
      <c r="C452" s="12" t="s">
        <v>1085</v>
      </c>
      <c r="D452" s="9">
        <f>4450*1.21</f>
        <v>5384.5</v>
      </c>
      <c r="E452" s="14">
        <v>44181</v>
      </c>
      <c r="F452" s="10">
        <f>E452+30</f>
        <v>44211</v>
      </c>
      <c r="G452" s="12" t="s">
        <v>1187</v>
      </c>
      <c r="H452" s="12" t="s">
        <v>1263</v>
      </c>
      <c r="I452" s="8" t="s">
        <v>13</v>
      </c>
    </row>
    <row r="453" spans="1:9">
      <c r="A453" s="12" t="s">
        <v>975</v>
      </c>
      <c r="B453" s="8">
        <v>2020</v>
      </c>
      <c r="C453" s="12" t="s">
        <v>1086</v>
      </c>
      <c r="D453" s="9">
        <f>1169.4*1.21</f>
        <v>1414.9740000000002</v>
      </c>
      <c r="E453" s="14">
        <v>44182</v>
      </c>
      <c r="F453" s="10">
        <v>44227</v>
      </c>
      <c r="G453" s="12" t="s">
        <v>1188</v>
      </c>
      <c r="H453" s="12" t="s">
        <v>1264</v>
      </c>
      <c r="I453" s="8" t="s">
        <v>13</v>
      </c>
    </row>
    <row r="454" spans="1:9" ht="51">
      <c r="A454" s="12" t="s">
        <v>976</v>
      </c>
      <c r="B454" s="8">
        <v>2020</v>
      </c>
      <c r="C454" s="12" t="s">
        <v>1087</v>
      </c>
      <c r="D454" s="9">
        <f>620*1.21</f>
        <v>750.19999999999993</v>
      </c>
      <c r="E454" s="14">
        <v>44178</v>
      </c>
      <c r="F454" s="10">
        <v>43861</v>
      </c>
      <c r="G454" s="12" t="s">
        <v>1189</v>
      </c>
      <c r="H454" s="12" t="s">
        <v>1265</v>
      </c>
      <c r="I454" s="8" t="s">
        <v>13</v>
      </c>
    </row>
    <row r="455" spans="1:9">
      <c r="A455" s="12" t="s">
        <v>977</v>
      </c>
      <c r="B455" s="8">
        <v>2020</v>
      </c>
      <c r="C455" s="12" t="s">
        <v>1088</v>
      </c>
      <c r="D455" s="9">
        <f>474.2*1.21</f>
        <v>573.78199999999993</v>
      </c>
      <c r="E455" s="14">
        <v>44180</v>
      </c>
      <c r="F455" s="10">
        <f>E455+4</f>
        <v>44184</v>
      </c>
      <c r="G455" s="12" t="s">
        <v>1190</v>
      </c>
      <c r="H455" s="12" t="s">
        <v>289</v>
      </c>
      <c r="I455" s="8" t="s">
        <v>13</v>
      </c>
    </row>
    <row r="456" spans="1:9">
      <c r="A456" s="12" t="s">
        <v>978</v>
      </c>
      <c r="B456" s="8">
        <v>2020</v>
      </c>
      <c r="C456" s="12" t="s">
        <v>1089</v>
      </c>
      <c r="D456" s="9">
        <f>4290*1.21</f>
        <v>5190.8999999999996</v>
      </c>
      <c r="E456" s="14">
        <v>44182</v>
      </c>
      <c r="F456" s="10">
        <v>44196</v>
      </c>
      <c r="G456" s="12" t="s">
        <v>1191</v>
      </c>
      <c r="H456" s="12" t="s">
        <v>1266</v>
      </c>
      <c r="I456" s="8" t="s">
        <v>13</v>
      </c>
    </row>
    <row r="457" spans="1:9">
      <c r="A457" s="12" t="s">
        <v>979</v>
      </c>
      <c r="B457" s="8">
        <v>2020</v>
      </c>
      <c r="C457" s="12" t="s">
        <v>1090</v>
      </c>
      <c r="D457" s="9">
        <f>1260*1.21</f>
        <v>1524.6</v>
      </c>
      <c r="E457" s="14">
        <v>44193</v>
      </c>
      <c r="F457" s="10">
        <v>44196</v>
      </c>
      <c r="G457" s="12" t="s">
        <v>1149</v>
      </c>
      <c r="H457" s="12" t="s">
        <v>1238</v>
      </c>
      <c r="I457" s="8" t="s">
        <v>13</v>
      </c>
    </row>
    <row r="458" spans="1:9">
      <c r="A458" s="12" t="s">
        <v>980</v>
      </c>
      <c r="B458" s="8">
        <v>2020</v>
      </c>
      <c r="C458" s="12" t="s">
        <v>1091</v>
      </c>
      <c r="D458" s="9">
        <f>5444.89*1.21</f>
        <v>6588.3168999999998</v>
      </c>
      <c r="E458" s="14">
        <v>44186</v>
      </c>
      <c r="F458" s="10">
        <f>E458+45</f>
        <v>44231</v>
      </c>
      <c r="G458" s="12" t="s">
        <v>1192</v>
      </c>
      <c r="H458" s="12" t="s">
        <v>1267</v>
      </c>
      <c r="I458" s="8" t="s">
        <v>13</v>
      </c>
    </row>
    <row r="459" spans="1:9">
      <c r="A459" s="12" t="s">
        <v>981</v>
      </c>
      <c r="B459" s="8">
        <v>2020</v>
      </c>
      <c r="C459" s="12" t="s">
        <v>1092</v>
      </c>
      <c r="D459" s="9">
        <f>2950</f>
        <v>2950</v>
      </c>
      <c r="E459" s="14">
        <v>44181</v>
      </c>
      <c r="F459" s="10">
        <f>E459+30</f>
        <v>44211</v>
      </c>
      <c r="G459" s="12" t="s">
        <v>1193</v>
      </c>
      <c r="H459" s="12" t="s">
        <v>622</v>
      </c>
      <c r="I459" s="8" t="s">
        <v>13</v>
      </c>
    </row>
    <row r="460" spans="1:9" ht="25.5">
      <c r="A460" s="12" t="s">
        <v>982</v>
      </c>
      <c r="B460" s="8">
        <v>2020</v>
      </c>
      <c r="C460" s="12" t="s">
        <v>1093</v>
      </c>
      <c r="D460" s="9">
        <f>399*1.21</f>
        <v>482.78999999999996</v>
      </c>
      <c r="E460" s="14">
        <v>44182</v>
      </c>
      <c r="F460" s="10">
        <f>E460+30</f>
        <v>44212</v>
      </c>
      <c r="G460" s="12" t="s">
        <v>1194</v>
      </c>
      <c r="H460" s="12" t="s">
        <v>1268</v>
      </c>
      <c r="I460" s="8" t="s">
        <v>13</v>
      </c>
    </row>
    <row r="461" spans="1:9" ht="25.5">
      <c r="A461" s="12" t="s">
        <v>983</v>
      </c>
      <c r="B461" s="8">
        <v>2020</v>
      </c>
      <c r="C461" s="12" t="s">
        <v>1094</v>
      </c>
      <c r="D461" s="9">
        <f>240.06*1.04</f>
        <v>249.66240000000002</v>
      </c>
      <c r="E461" s="14">
        <v>44182</v>
      </c>
      <c r="F461" s="10">
        <v>44183</v>
      </c>
      <c r="G461" s="12" t="s">
        <v>1195</v>
      </c>
      <c r="H461" s="12" t="s">
        <v>91</v>
      </c>
      <c r="I461" s="8" t="s">
        <v>13</v>
      </c>
    </row>
    <row r="462" spans="1:9" ht="25.5">
      <c r="A462" s="12" t="s">
        <v>984</v>
      </c>
      <c r="B462" s="8">
        <v>2020</v>
      </c>
      <c r="C462" s="12" t="s">
        <v>1095</v>
      </c>
      <c r="D462" s="9">
        <f>258.75*1.21</f>
        <v>313.08749999999998</v>
      </c>
      <c r="E462" s="14">
        <v>44181</v>
      </c>
      <c r="F462" s="10">
        <v>44185</v>
      </c>
      <c r="G462" s="12" t="s">
        <v>1196</v>
      </c>
      <c r="H462" s="12" t="s">
        <v>1269</v>
      </c>
      <c r="I462" s="8" t="s">
        <v>13</v>
      </c>
    </row>
    <row r="463" spans="1:9">
      <c r="A463" s="12" t="s">
        <v>985</v>
      </c>
      <c r="B463" s="8">
        <v>2020</v>
      </c>
      <c r="C463" s="12" t="s">
        <v>1096</v>
      </c>
      <c r="D463" s="9">
        <f>738.6*1.21</f>
        <v>893.70600000000002</v>
      </c>
      <c r="E463" s="14">
        <v>44182</v>
      </c>
      <c r="F463" s="10">
        <v>44196</v>
      </c>
      <c r="G463" s="12" t="s">
        <v>1165</v>
      </c>
      <c r="H463" s="12" t="s">
        <v>1247</v>
      </c>
      <c r="I463" s="8" t="s">
        <v>13</v>
      </c>
    </row>
    <row r="464" spans="1:9">
      <c r="A464" s="12" t="s">
        <v>986</v>
      </c>
      <c r="B464" s="8">
        <v>2020</v>
      </c>
      <c r="C464" s="12" t="s">
        <v>1097</v>
      </c>
      <c r="D464" s="9">
        <f>4928.12*1.21</f>
        <v>5963.0252</v>
      </c>
      <c r="E464" s="14">
        <v>44186</v>
      </c>
      <c r="F464" s="10">
        <f>E464+30</f>
        <v>44216</v>
      </c>
      <c r="G464" s="12" t="s">
        <v>1197</v>
      </c>
      <c r="H464" s="12" t="s">
        <v>302</v>
      </c>
      <c r="I464" s="8" t="s">
        <v>13</v>
      </c>
    </row>
    <row r="465" spans="1:9">
      <c r="A465" s="12" t="s">
        <v>987</v>
      </c>
      <c r="B465" s="8">
        <v>2020</v>
      </c>
      <c r="C465" s="12" t="s">
        <v>1098</v>
      </c>
      <c r="D465" s="9">
        <f>798.4*1.21</f>
        <v>966.06399999999996</v>
      </c>
      <c r="E465" s="14">
        <v>44183</v>
      </c>
      <c r="F465" s="10">
        <f>E465+21</f>
        <v>44204</v>
      </c>
      <c r="G465" s="12" t="s">
        <v>1198</v>
      </c>
      <c r="H465" s="12" t="s">
        <v>1270</v>
      </c>
      <c r="I465" s="8" t="s">
        <v>13</v>
      </c>
    </row>
    <row r="466" spans="1:9">
      <c r="A466" s="12" t="s">
        <v>988</v>
      </c>
      <c r="B466" s="8">
        <v>2020</v>
      </c>
      <c r="C466" s="12" t="s">
        <v>1099</v>
      </c>
      <c r="D466" s="9">
        <f>333*1.21</f>
        <v>402.93</v>
      </c>
      <c r="E466" s="14">
        <v>44183</v>
      </c>
      <c r="F466" s="10">
        <f>E466+42</f>
        <v>44225</v>
      </c>
      <c r="G466" s="12" t="s">
        <v>1199</v>
      </c>
      <c r="H466" s="12" t="s">
        <v>1271</v>
      </c>
      <c r="I466" s="8" t="s">
        <v>13</v>
      </c>
    </row>
    <row r="467" spans="1:9">
      <c r="A467" s="12" t="s">
        <v>989</v>
      </c>
      <c r="B467" s="8">
        <v>2020</v>
      </c>
      <c r="C467" s="12" t="s">
        <v>1100</v>
      </c>
      <c r="D467" s="9">
        <f>1420*1.21</f>
        <v>1718.2</v>
      </c>
      <c r="E467" s="14">
        <v>44183</v>
      </c>
      <c r="F467" s="10">
        <f>E467+21</f>
        <v>44204</v>
      </c>
      <c r="G467" s="12" t="s">
        <v>1200</v>
      </c>
      <c r="H467" s="12" t="s">
        <v>1272</v>
      </c>
      <c r="I467" s="8" t="s">
        <v>13</v>
      </c>
    </row>
    <row r="468" spans="1:9" ht="25.5">
      <c r="A468" s="12" t="s">
        <v>990</v>
      </c>
      <c r="B468" s="8">
        <v>2020</v>
      </c>
      <c r="C468" s="12" t="s">
        <v>1101</v>
      </c>
      <c r="D468" s="9">
        <f>5940.02*1.21</f>
        <v>7187.4242000000004</v>
      </c>
      <c r="E468" s="14">
        <v>44193</v>
      </c>
      <c r="F468" s="10">
        <f>E468+15</f>
        <v>44208</v>
      </c>
      <c r="G468" s="12" t="s">
        <v>1201</v>
      </c>
      <c r="H468" s="12" t="s">
        <v>1273</v>
      </c>
      <c r="I468" s="8" t="s">
        <v>13</v>
      </c>
    </row>
    <row r="469" spans="1:9">
      <c r="A469" s="12" t="s">
        <v>991</v>
      </c>
      <c r="B469" s="8">
        <v>2020</v>
      </c>
      <c r="C469" s="12" t="s">
        <v>1102</v>
      </c>
      <c r="D469" s="9">
        <f>450*1.21</f>
        <v>544.5</v>
      </c>
      <c r="E469" s="14">
        <v>44183</v>
      </c>
      <c r="F469" s="10">
        <v>44197</v>
      </c>
      <c r="G469" s="12" t="s">
        <v>1202</v>
      </c>
      <c r="H469" s="12" t="s">
        <v>1274</v>
      </c>
      <c r="I469" s="8" t="s">
        <v>13</v>
      </c>
    </row>
    <row r="470" spans="1:9" ht="51">
      <c r="A470" s="12" t="s">
        <v>1673</v>
      </c>
      <c r="B470" s="8">
        <v>2020</v>
      </c>
      <c r="C470" s="12" t="s">
        <v>1674</v>
      </c>
      <c r="D470" s="9">
        <f>7745.76*1.21</f>
        <v>9372.3696</v>
      </c>
      <c r="E470" s="14">
        <v>44172</v>
      </c>
      <c r="F470" s="10">
        <v>44196</v>
      </c>
      <c r="G470" s="12" t="s">
        <v>1675</v>
      </c>
      <c r="H470" s="12" t="s">
        <v>1223</v>
      </c>
      <c r="I470" s="8" t="s">
        <v>13</v>
      </c>
    </row>
    <row r="471" spans="1:9">
      <c r="A471" s="12" t="s">
        <v>992</v>
      </c>
      <c r="B471" s="8">
        <v>2020</v>
      </c>
      <c r="C471" s="12" t="s">
        <v>1103</v>
      </c>
      <c r="D471" s="9">
        <f>738*1.21</f>
        <v>892.98</v>
      </c>
      <c r="E471" s="14">
        <v>44183</v>
      </c>
      <c r="F471" s="10">
        <f>E471+30</f>
        <v>44213</v>
      </c>
      <c r="G471" s="12" t="s">
        <v>1203</v>
      </c>
      <c r="H471" s="12" t="s">
        <v>353</v>
      </c>
      <c r="I471" s="8" t="s">
        <v>13</v>
      </c>
    </row>
    <row r="472" spans="1:9">
      <c r="A472" s="12" t="s">
        <v>993</v>
      </c>
      <c r="B472" s="8">
        <v>2020</v>
      </c>
      <c r="C472" s="12" t="s">
        <v>1104</v>
      </c>
      <c r="D472" s="9">
        <f>7.5*1.21</f>
        <v>9.0749999999999993</v>
      </c>
      <c r="E472" s="14">
        <v>44181</v>
      </c>
      <c r="F472" s="10">
        <v>44185</v>
      </c>
      <c r="G472" s="12" t="s">
        <v>1132</v>
      </c>
      <c r="H472" s="12" t="s">
        <v>294</v>
      </c>
      <c r="I472" s="8" t="s">
        <v>13</v>
      </c>
    </row>
    <row r="473" spans="1:9">
      <c r="A473" s="12" t="s">
        <v>994</v>
      </c>
      <c r="B473" s="8">
        <v>2020</v>
      </c>
      <c r="C473" s="17" t="s">
        <v>1281</v>
      </c>
      <c r="D473" s="9">
        <f>4249.63*1.21</f>
        <v>5142.0523000000003</v>
      </c>
      <c r="E473" s="14">
        <v>44183</v>
      </c>
      <c r="F473" s="10">
        <f>E473+30</f>
        <v>44213</v>
      </c>
      <c r="G473" s="12" t="s">
        <v>1204</v>
      </c>
      <c r="H473" s="12" t="s">
        <v>1275</v>
      </c>
      <c r="I473" s="8" t="s">
        <v>13</v>
      </c>
    </row>
    <row r="474" spans="1:9">
      <c r="A474" s="12" t="s">
        <v>995</v>
      </c>
      <c r="B474" s="8">
        <v>2020</v>
      </c>
      <c r="C474" s="12" t="s">
        <v>1105</v>
      </c>
      <c r="D474" s="9">
        <f>2714.81*1.21</f>
        <v>3284.9200999999998</v>
      </c>
      <c r="E474" s="14">
        <v>44188</v>
      </c>
      <c r="F474" s="10">
        <f>E474+20</f>
        <v>44208</v>
      </c>
      <c r="G474" s="12" t="s">
        <v>1205</v>
      </c>
      <c r="H474" s="12" t="s">
        <v>1276</v>
      </c>
      <c r="I474" s="8" t="s">
        <v>13</v>
      </c>
    </row>
    <row r="475" spans="1:9" ht="25.5">
      <c r="A475" s="12" t="s">
        <v>996</v>
      </c>
      <c r="B475" s="8">
        <v>2020</v>
      </c>
      <c r="C475" s="12" t="s">
        <v>1106</v>
      </c>
      <c r="D475" s="9">
        <f>415*1.21</f>
        <v>502.15</v>
      </c>
      <c r="E475" s="14">
        <v>44183</v>
      </c>
      <c r="F475" s="10">
        <f>E475+30</f>
        <v>44213</v>
      </c>
      <c r="G475" s="12" t="s">
        <v>1194</v>
      </c>
      <c r="H475" s="12" t="s">
        <v>1268</v>
      </c>
      <c r="I475" s="8" t="s">
        <v>13</v>
      </c>
    </row>
    <row r="476" spans="1:9">
      <c r="A476" s="12" t="s">
        <v>997</v>
      </c>
      <c r="B476" s="8">
        <v>2020</v>
      </c>
      <c r="C476" s="12" t="s">
        <v>1107</v>
      </c>
      <c r="D476" s="9">
        <f>1000*1.21</f>
        <v>1210</v>
      </c>
      <c r="E476" s="14">
        <v>44188</v>
      </c>
      <c r="F476" s="10">
        <v>44377</v>
      </c>
      <c r="G476" s="12" t="s">
        <v>610</v>
      </c>
      <c r="H476" s="12" t="s">
        <v>327</v>
      </c>
      <c r="I476" s="8" t="s">
        <v>13</v>
      </c>
    </row>
    <row r="477" spans="1:9">
      <c r="A477" s="12" t="s">
        <v>1676</v>
      </c>
      <c r="B477" s="8">
        <v>2020</v>
      </c>
      <c r="C477" s="12" t="s">
        <v>1677</v>
      </c>
      <c r="D477" s="9">
        <f>1850*1.21</f>
        <v>2238.5</v>
      </c>
      <c r="E477" s="14">
        <v>44183</v>
      </c>
      <c r="F477" s="10">
        <v>44196</v>
      </c>
      <c r="G477" s="12" t="s">
        <v>1679</v>
      </c>
      <c r="H477" s="12" t="s">
        <v>1678</v>
      </c>
      <c r="I477" s="8" t="s">
        <v>13</v>
      </c>
    </row>
    <row r="478" spans="1:9">
      <c r="A478" s="12" t="s">
        <v>998</v>
      </c>
      <c r="B478" s="8">
        <v>2020</v>
      </c>
      <c r="C478" s="12" t="s">
        <v>1108</v>
      </c>
      <c r="D478" s="9">
        <f>453*1.1</f>
        <v>498.30000000000007</v>
      </c>
      <c r="E478" s="14">
        <v>44193</v>
      </c>
      <c r="F478" s="10">
        <f>E478+150</f>
        <v>44343</v>
      </c>
      <c r="G478" s="12" t="s">
        <v>1206</v>
      </c>
      <c r="H478" s="12" t="s">
        <v>1277</v>
      </c>
      <c r="I478" s="8" t="s">
        <v>13</v>
      </c>
    </row>
    <row r="479" spans="1:9">
      <c r="A479" s="12" t="s">
        <v>999</v>
      </c>
      <c r="B479" s="8">
        <v>2020</v>
      </c>
      <c r="C479" s="12" t="s">
        <v>1109</v>
      </c>
      <c r="D479" s="9">
        <f>430*1.21</f>
        <v>520.29999999999995</v>
      </c>
      <c r="E479" s="14">
        <v>44187</v>
      </c>
      <c r="F479" s="10">
        <f>E479+90</f>
        <v>44277</v>
      </c>
      <c r="G479" s="12" t="s">
        <v>1207</v>
      </c>
      <c r="H479" s="12" t="s">
        <v>321</v>
      </c>
      <c r="I479" s="8" t="s">
        <v>13</v>
      </c>
    </row>
    <row r="480" spans="1:9">
      <c r="A480" s="12" t="s">
        <v>1000</v>
      </c>
      <c r="B480" s="8">
        <v>2020</v>
      </c>
      <c r="C480" s="12" t="s">
        <v>1110</v>
      </c>
      <c r="D480" s="9">
        <f>1294.48*1.21</f>
        <v>1566.3208</v>
      </c>
      <c r="E480" s="14">
        <v>44186</v>
      </c>
      <c r="F480" s="10">
        <f>E480+30</f>
        <v>44216</v>
      </c>
      <c r="G480" s="12" t="s">
        <v>1208</v>
      </c>
      <c r="H480" s="12" t="s">
        <v>1278</v>
      </c>
      <c r="I480" s="8" t="s">
        <v>13</v>
      </c>
    </row>
    <row r="481" spans="1:9">
      <c r="A481" s="12" t="s">
        <v>1001</v>
      </c>
      <c r="B481" s="8">
        <v>2020</v>
      </c>
      <c r="C481" s="12" t="s">
        <v>1111</v>
      </c>
      <c r="D481" s="9">
        <f>1152.55*1.21</f>
        <v>1394.5854999999999</v>
      </c>
      <c r="E481" s="14">
        <v>44188</v>
      </c>
      <c r="F481" s="10">
        <f>E481+30</f>
        <v>44218</v>
      </c>
      <c r="G481" s="12" t="s">
        <v>1209</v>
      </c>
      <c r="H481" s="12" t="s">
        <v>731</v>
      </c>
      <c r="I481" s="8" t="s">
        <v>13</v>
      </c>
    </row>
    <row r="482" spans="1:9">
      <c r="A482" s="12" t="s">
        <v>1002</v>
      </c>
      <c r="B482" s="8">
        <v>2020</v>
      </c>
      <c r="C482" s="12" t="s">
        <v>1112</v>
      </c>
      <c r="D482" s="9">
        <f>250*1.21</f>
        <v>302.5</v>
      </c>
      <c r="E482" s="14">
        <v>44183</v>
      </c>
      <c r="F482" s="10">
        <v>44183</v>
      </c>
      <c r="G482" s="12" t="s">
        <v>1210</v>
      </c>
      <c r="H482" s="12" t="s">
        <v>1279</v>
      </c>
      <c r="I482" s="8" t="s">
        <v>13</v>
      </c>
    </row>
    <row r="483" spans="1:9">
      <c r="A483" s="12" t="s">
        <v>1003</v>
      </c>
      <c r="B483" s="8">
        <v>2020</v>
      </c>
      <c r="C483" s="12" t="s">
        <v>1113</v>
      </c>
      <c r="D483" s="9">
        <f>710*1.21</f>
        <v>859.1</v>
      </c>
      <c r="E483" s="14">
        <v>44186</v>
      </c>
      <c r="F483" s="10">
        <f>E483+30</f>
        <v>44216</v>
      </c>
      <c r="G483" s="12" t="s">
        <v>1211</v>
      </c>
      <c r="H483" s="12" t="s">
        <v>1280</v>
      </c>
      <c r="I483" s="8" t="s">
        <v>13</v>
      </c>
    </row>
  </sheetData>
  <dataValidations count="3">
    <dataValidation type="textLength" allowBlank="1" showInputMessage="1" showErrorMessage="1" errorTitle="Format erroni: adjudicatari nif" error="La mida màxima permesa és de 15 caràcters." sqref="H10">
      <formula1>1</formula1>
      <formula2>15</formula2>
    </dataValidation>
    <dataValidation type="textLength" showInputMessage="1" showErrorMessage="1" errorTitle="Format erroni: descripció" error="La mida màxima permesa és de 2000 caràcters." sqref="C10">
      <formula1>1</formula1>
      <formula2>2000</formula2>
    </dataValidation>
    <dataValidation type="textLength" showInputMessage="1" showErrorMessage="1" errorTitle="Format erroni: expedient" error="La mida màxima permesa és de 43 caràcters." sqref="A10">
      <formula1>1</formula1>
      <formula2>43</formula2>
    </dataValidation>
  </dataValidations>
  <pageMargins left="0.7" right="0.7" top="0.75" bottom="0.75" header="0.3" footer="0.3"/>
  <pageSetup paperSize="9" orientation="portrait" r:id="rId1"/>
  <ignoredErrors>
    <ignoredError sqref="F66" formula="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Contractes menors període</vt:lpstr>
    </vt:vector>
  </TitlesOfParts>
  <Company>HP CDS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CDOMINGO</cp:lastModifiedBy>
  <dcterms:created xsi:type="dcterms:W3CDTF">2018-05-21T13:25:18Z</dcterms:created>
  <dcterms:modified xsi:type="dcterms:W3CDTF">2021-02-25T08:04:47Z</dcterms:modified>
</cp:coreProperties>
</file>