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ull 1" sheetId="1" r:id="rId1"/>
  </sheets>
  <calcPr calcId="124519"/>
</workbook>
</file>

<file path=xl/sharedStrings.xml><?xml version="1.0" encoding="utf-8"?>
<sst xmlns="http://schemas.openxmlformats.org/spreadsheetml/2006/main" count="1233" uniqueCount="1233">
  <si>
    <t xml:space="preserve">Obra:</t>
  </si>
  <si>
    <t xml:space="preserve">PRESSUPOST REFUGI GATS SANT QUIRZE</t>
  </si>
  <si>
    <t xml:space="preserve">Pressupost</t>
  </si>
  <si>
    <t xml:space="preserve">% C.I.</t>
  </si>
  <si>
    <t xml:space="preserve">Codi</t>
  </si>
  <si>
    <t xml:space="preserve">Tipus</t>
  </si>
  <si>
    <t xml:space="preserve">U</t>
  </si>
  <si>
    <t xml:space="preserve">Resum</t>
  </si>
  <si>
    <t xml:space="preserve">Quantitat</t>
  </si>
  <si>
    <t xml:space="preserve">Preu (€)</t>
  </si>
  <si>
    <t xml:space="preserve">Import (€)</t>
  </si>
  <si>
    <t xml:space="preserve">8781 AMI</t>
  </si>
  <si>
    <t xml:space="preserve">Capítol</t>
  </si>
  <si>
    <t xml:space="preserve">PRESSUPOST REFUGI GATS SANT QUIRZE</t>
  </si>
  <si>
    <t xml:space="preserve">MOV</t>
  </si>
  <si>
    <t xml:space="preserve">Capítol</t>
  </si>
  <si>
    <t xml:space="preserve">MOVIMENT DE TERRES</t>
  </si>
  <si>
    <t xml:space="preserve">U24900</t>
  </si>
  <si>
    <t xml:space="preserve">Partida</t>
  </si>
  <si>
    <t xml:space="preserve">UT</t>
  </si>
  <si>
    <t xml:space="preserve">LOCALITZACIÓ DE SERVEIS EXISTENTS</t>
  </si>
  <si>
    <t xml:space="preserve">LOCALITZACIÓ DE SERVEIS EXISTENTS I CLAVEGUERES MITJANTÇANT CATES, DE FORMA MANUAL I/O MECÀNICA, INCLOENT EL REBLIMENT I PICONATGE POSTERIOR DE TERRES.</t>
  </si>
  <si>
    <t xml:space="preserve">Uts.</t>
  </si>
  <si>
    <t xml:space="preserve">Llargada</t>
  </si>
  <si>
    <t xml:space="preserve">Amplada</t>
  </si>
  <si>
    <t xml:space="preserve">Alçada</t>
  </si>
  <si>
    <t xml:space="preserve">Parcial</t>
  </si>
  <si>
    <t xml:space="preserve">Subtotal</t>
  </si>
  <si>
    <t xml:space="preserve">Previssió àmbit obra</t>
  </si>
  <si>
    <t xml:space="preserve">U24300</t>
  </si>
  <si>
    <t xml:space="preserve">Partida</t>
  </si>
  <si>
    <t xml:space="preserve">M2</t>
  </si>
  <si>
    <t xml:space="preserve">NETEJA I ESBROSSADA DE TERRENY,</t>
  </si>
  <si>
    <t xml:space="preserve">NETEJA I ESBROSSADA DE TERRENY, AMB MITJANS MECANICS. CARREGA I TRANSPORT A L'ABOCADOR I PAGAMENT DEL CÀNON D'ABOCAMENT</t>
  </si>
  <si>
    <t xml:space="preserve">Uts.</t>
  </si>
  <si>
    <t xml:space="preserve">Llargada</t>
  </si>
  <si>
    <t xml:space="preserve">Amplada</t>
  </si>
  <si>
    <t xml:space="preserve">Alçada</t>
  </si>
  <si>
    <t xml:space="preserve">Parcial</t>
  </si>
  <si>
    <t xml:space="preserve">Subtotal</t>
  </si>
  <si>
    <t xml:space="preserve">Total àmbit obra</t>
  </si>
  <si>
    <t xml:space="preserve">U24102</t>
  </si>
  <si>
    <t xml:space="preserve">Partida</t>
  </si>
  <si>
    <t xml:space="preserve">M3</t>
  </si>
  <si>
    <t xml:space="preserve">EXCAVACIO DE TERRES AMB MITJANS</t>
  </si>
  <si>
    <t xml:space="preserve">EXCAVACIO DE TERRES AMB MITJANS MECANICS, PER A EXPLANACIO DE QUALSEVOL TIPUS DE TERRENY (EXCEPTE ROCA), MESURAT SOBRE PERFIL I AMUNTEGANT LES TERRES PER A POSTERIOR TERRAPLENAT. INCLÒS EL TRANSPORT INTERIOR.</t>
  </si>
  <si>
    <t xml:space="preserve">Uts.</t>
  </si>
  <si>
    <t xml:space="preserve">Llargada</t>
  </si>
  <si>
    <t xml:space="preserve">Amplada</t>
  </si>
  <si>
    <t xml:space="preserve">Alçada</t>
  </si>
  <si>
    <t xml:space="preserve">Parcial</t>
  </si>
  <si>
    <t xml:space="preserve">Subtotal</t>
  </si>
  <si>
    <t xml:space="preserve">Vorera i Façana Gatera</t>
  </si>
  <si>
    <t xml:space="preserve">Recinte Gatera</t>
  </si>
  <si>
    <t xml:space="preserve">U27300</t>
  </si>
  <si>
    <t xml:space="preserve">Partida</t>
  </si>
  <si>
    <t xml:space="preserve">M2</t>
  </si>
  <si>
    <t xml:space="preserve">REPAS, ANIVELLAT I PICONATGE DE</t>
  </si>
  <si>
    <t xml:space="preserve">REPAS, ANIVELLAT I PICONATGE DE CAIXA DE PAVIMENT, AMB COMPACTACIO AL 95% DEL P.M.</t>
  </si>
  <si>
    <t xml:space="preserve">Uts.</t>
  </si>
  <si>
    <t xml:space="preserve">Llargada</t>
  </si>
  <si>
    <t xml:space="preserve">Amplada</t>
  </si>
  <si>
    <t xml:space="preserve">Alçada</t>
  </si>
  <si>
    <t xml:space="preserve">Parcial</t>
  </si>
  <si>
    <t xml:space="preserve">Subtotal</t>
  </si>
  <si>
    <t xml:space="preserve">Vorera i Façana Gatera</t>
  </si>
  <si>
    <t xml:space="preserve">Recinte Gatera</t>
  </si>
  <si>
    <t xml:space="preserve">U24501</t>
  </si>
  <si>
    <t xml:space="preserve">Partida</t>
  </si>
  <si>
    <t xml:space="preserve">M3</t>
  </si>
  <si>
    <t xml:space="preserve">TERRAPLENADA I PICONATGE D'ESPLANADA</t>
  </si>
  <si>
    <t xml:space="preserve">TERRAPLENADA I PICONATGE D'ESPLANADA MILLORADA, AMB TERRES PROCEDENTS DE PRESTEC DE SOL SELECCIONAT, EN TONGADES DE 25 CM COM A MAXIM AMB COMPACTACIO AL 98% DEL P.M.</t>
  </si>
  <si>
    <t xml:space="preserve">Uts.</t>
  </si>
  <si>
    <t xml:space="preserve">Llargada</t>
  </si>
  <si>
    <t xml:space="preserve">Amplada</t>
  </si>
  <si>
    <t xml:space="preserve">Alçada</t>
  </si>
  <si>
    <t xml:space="preserve">Parcial</t>
  </si>
  <si>
    <t xml:space="preserve">Subtotal</t>
  </si>
  <si>
    <t xml:space="preserve">Total repas caixa (=25cm)</t>
  </si>
  <si>
    <t xml:space="preserve">U24670b</t>
  </si>
  <si>
    <t xml:space="preserve">Partida</t>
  </si>
  <si>
    <t xml:space="preserve">M3</t>
  </si>
  <si>
    <t xml:space="preserve">CÀRREGA AMB MITJANS MECÀNICS DE TERRES, ESTESA I TREPITJADA.</t>
  </si>
  <si>
    <t xml:space="preserve">CÀRREGA AMB MITJANS MECÀNICS DE TERRES, ESTESA I TREPITJADA.</t>
  </si>
  <si>
    <t xml:space="preserve">Uts.</t>
  </si>
  <si>
    <t xml:space="preserve">Llargada</t>
  </si>
  <si>
    <t xml:space="preserve">Amplada</t>
  </si>
  <si>
    <t xml:space="preserve">Alçada</t>
  </si>
  <si>
    <t xml:space="preserve">Parcial</t>
  </si>
  <si>
    <t xml:space="preserve">Subtotal</t>
  </si>
  <si>
    <t xml:space="preserve">Estesa de terres excavades a l'àmbit de la mateixa parcel·la</t>
  </si>
  <si>
    <t xml:space="preserve">MOV</t>
  </si>
  <si>
    <t xml:space="preserve">VOR</t>
  </si>
  <si>
    <t xml:space="preserve">Capítol</t>
  </si>
  <si>
    <t xml:space="preserve">VORERES</t>
  </si>
  <si>
    <t xml:space="preserve">U24041</t>
  </si>
  <si>
    <t xml:space="preserve">Partida</t>
  </si>
  <si>
    <t xml:space="preserve">ML</t>
  </si>
  <si>
    <t xml:space="preserve">ARRENCADA DE VORADA I APLEC DE PECES</t>
  </si>
  <si>
    <t xml:space="preserve">ARRENCADA DE VORADA I APLEC DE LES PECES RECUPERADES, INCLOU LA NETEJA DE LA RASA, AMUNTEGAT DE LES VORADES EN BON ESTA PER POSSIBLES REPOSICIONS A ALTRES CARRERS, CARREGA I TRANSPORT A L'ABOCADOR DE LA RUNA.</t>
  </si>
  <si>
    <t xml:space="preserve">Uts.</t>
  </si>
  <si>
    <t xml:space="preserve">Llargada</t>
  </si>
  <si>
    <t xml:space="preserve">Amplada</t>
  </si>
  <si>
    <t xml:space="preserve">Alçada</t>
  </si>
  <si>
    <t xml:space="preserve">Parcial</t>
  </si>
  <si>
    <t xml:space="preserve">Subtotal</t>
  </si>
  <si>
    <t xml:space="preserve">Vorada Est</t>
  </si>
  <si>
    <t xml:space="preserve">Vorada Oest</t>
  </si>
  <si>
    <t xml:space="preserve">U24051</t>
  </si>
  <si>
    <t xml:space="preserve">Partida</t>
  </si>
  <si>
    <t xml:space="preserve">M2</t>
  </si>
  <si>
    <t xml:space="preserve">DEMOLICIO DE QUALSEVOL TIPUS DE PAVIMENT EN VORERES</t>
  </si>
  <si>
    <t xml:space="preserve">DEMOLICIÓ DE QUALSEVOL TIPUS DE PAVIMENT EN VORERES, INCLOU LA CÀRREGA, EL TRANSPORT A L'ABOCADOR I EL PAGAMENT DEL CÀNON D'ABOCAMENT.</t>
  </si>
  <si>
    <t xml:space="preserve">Uts.</t>
  </si>
  <si>
    <t xml:space="preserve">Llargada</t>
  </si>
  <si>
    <t xml:space="preserve">Amplada</t>
  </si>
  <si>
    <t xml:space="preserve">Alçada</t>
  </si>
  <si>
    <t xml:space="preserve">Parcial</t>
  </si>
  <si>
    <t xml:space="preserve">Subtotal</t>
  </si>
  <si>
    <t xml:space="preserve">Demolició de vorera per execució de nou gual</t>
  </si>
  <si>
    <t xml:space="preserve">U27162</t>
  </si>
  <si>
    <t xml:space="preserve">Partida</t>
  </si>
  <si>
    <t xml:space="preserve">ML</t>
  </si>
  <si>
    <t xml:space="preserve">TRAMS CENTRALS DE GUALS PER A VIANANTS, FORMANT RAMPA D'APROX. 1.20m D'AMPLADA, AMB PECES PREFABRICADES DE FORMIGÓ DE 40cm D'AMPLADA, APROX. 60cm DE LLARG, i APROX. 10cm DE GRUIX, COL.LOCADES COL.LOCADES A LA FILERA INTERIOR SOBRE LLIT DE FORMIGÓ HM-20 DE</t>
  </si>
  <si>
    <t xml:space="preserve">TRAMS CENTRALS DE GUALS PER A VIANANTS, FORMANT RAMPA D'APROX. 1.20m D'AMPLADA, AMB PECES PREFABRICADES DE FORMIGÓ DE 40cm D'AMPLADA, APROX. 60cm DE LLARG, i APROX. 10cm DE GRUIX, COL.LOCADES COL.LOCADES A LA FILERA INTERIOR SOBRE LLIT DE FORMIGÓ HM-20 DE 15cm DE GRUIX, i PAVIMENT DE PANOT DE 20x20cm AMB TACS DE RELLEU, COLOR GRIS, FORMAT UNA FRANJA DE 60cm  D'AMPLADA (3 FILADES), COL.LOCADES AMB MORTER PASTAT SOBRE BASE DE FORMIGÓ DE 15cm DE GRUIX. S'INCLOU EL MOVIMENT DE TERRES, LA COMPACTACIÓ DE LA CAPA D'ASSENTAMENT, EL REPLANTEIG I TALL DE PECES, I EL REJUNTAT DE LES PECES AMB MORTER M-40A.</t>
  </si>
  <si>
    <t xml:space="preserve">Uts.</t>
  </si>
  <si>
    <t xml:space="preserve">Llargada</t>
  </si>
  <si>
    <t xml:space="preserve">Amplada</t>
  </si>
  <si>
    <t xml:space="preserve">Alçada</t>
  </si>
  <si>
    <t xml:space="preserve">Parcial</t>
  </si>
  <si>
    <t xml:space="preserve">Subtotal</t>
  </si>
  <si>
    <t xml:space="preserve">Gual Vorera Est</t>
  </si>
  <si>
    <t xml:space="preserve">Gual Vorera Oest</t>
  </si>
  <si>
    <t xml:space="preserve">U27166</t>
  </si>
  <si>
    <t xml:space="preserve">Partida</t>
  </si>
  <si>
    <t xml:space="preserve">UT</t>
  </si>
  <si>
    <t xml:space="preserve">CONJUNT DE DUES PECES PER ALS EXTREMS DE GUALS PER A VIANANTS I/O VEHICLES, AMB PEÇA PREFABRICADA DE FORMIGÓ D'ADAPTACIÓ, D'APROX. 40x60x28, I PEÇA DE CONTINUACIÓ D'APROX. 40x60x20cm, COL.LOCADES EN FILERA D'APROX. 60+60 (TOTAL APROX. 120cm) AL EXTREM DEL</t>
  </si>
  <si>
    <t xml:space="preserve">CONJUNT DE DUES PECES PER ALS EXTREMS DE GUALS PER A VIANANTS I/O VEHICLES, AMB PEÇA PREFABRICADA DE FORMIGÓ D'ADAPTACIÓ, D'APROX. 40x60x28, I PEÇA DE CONTINUACIÓ D'APROX. 40x60x20cm, COL.LOCADES EN FILERA D'APROX. 60+60 (TOTAL APROX. 120cm) AL EXTREM DEL GUAL, SOBRE LLIT DE FORMIGÓ HM-20 DE 15cm DE GRUIX. 'INCLOU EL MOVIMENT DE TERRES, LA COMPACTACIÓ DE LA CAPA D'ASSENTAMENT, EL REPLANTEIG I TALL DE PECES, I EL REJUNTAT DE LES PECES AMB MORTER M-40A.</t>
  </si>
  <si>
    <t xml:space="preserve">Uts.</t>
  </si>
  <si>
    <t xml:space="preserve">Llargada</t>
  </si>
  <si>
    <t xml:space="preserve">Amplada</t>
  </si>
  <si>
    <t xml:space="preserve">Alçada</t>
  </si>
  <si>
    <t xml:space="preserve">Parcial</t>
  </si>
  <si>
    <t xml:space="preserve">Subtotal</t>
  </si>
  <si>
    <t xml:space="preserve">Laterals gual est</t>
  </si>
  <si>
    <t xml:space="preserve">Laterals gual oest</t>
  </si>
  <si>
    <t xml:space="preserve">U27001</t>
  </si>
  <si>
    <t xml:space="preserve">Partida</t>
  </si>
  <si>
    <t xml:space="preserve">ML</t>
  </si>
  <si>
    <t xml:space="preserve">VORADA RECTA, PREFABRICADA T5</t>
  </si>
  <si>
    <t xml:space="preserve">VORADA RECTA, PREFABRICADA DE FORMIGO DE TIPUS T-5 DE 19/22 X 30 CM SOBRE LLIT DE FORMIGO HM-20 DE 20 CM DE GRUIX. S'INCLOU EL MOVIMENT DE TERRES, COMPACTACIO DE LA CAPA D'ASSENTAMENT I EL REJUNTAT DE LES PECES AMB MORTER M-40A.</t>
  </si>
  <si>
    <t xml:space="preserve">Uts.</t>
  </si>
  <si>
    <t xml:space="preserve">Llargada</t>
  </si>
  <si>
    <t xml:space="preserve">Amplada</t>
  </si>
  <si>
    <t xml:space="preserve">Alçada</t>
  </si>
  <si>
    <t xml:space="preserve">Parcial</t>
  </si>
  <si>
    <t xml:space="preserve">Subtotal</t>
  </si>
  <si>
    <t xml:space="preserve">Previssió de vorada afectada</t>
  </si>
  <si>
    <t xml:space="preserve">VOR</t>
  </si>
  <si>
    <t xml:space="preserve">FONA</t>
  </si>
  <si>
    <t xml:space="preserve">Capítol</t>
  </si>
  <si>
    <t xml:space="preserve">FONAMENTACIÓ</t>
  </si>
  <si>
    <t xml:space="preserve">U27420</t>
  </si>
  <si>
    <t xml:space="preserve">Partida</t>
  </si>
  <si>
    <t xml:space="preserve">M2</t>
  </si>
  <si>
    <t xml:space="preserve">SUB-BASE DE TOT-U NATURAL, TIPUS ZN-40 AMB UN GRUIX DE 20 CM</t>
  </si>
  <si>
    <t xml:space="preserve">SUB-BASE DE TOT-Ú NATURAL, TIPUS ZN-40 AMB UN GRUIX DE 20 CM, ESTESA I PICONATGE DEL MATERIAL AL 95% DEL P.M.</t>
  </si>
  <si>
    <t xml:space="preserve">Uts.</t>
  </si>
  <si>
    <t xml:space="preserve">Llargada</t>
  </si>
  <si>
    <t xml:space="preserve">Amplada</t>
  </si>
  <si>
    <t xml:space="preserve">Alçada</t>
  </si>
  <si>
    <t xml:space="preserve">Parcial</t>
  </si>
  <si>
    <t xml:space="preserve">Subtotal</t>
  </si>
  <si>
    <t xml:space="preserve">Total piconatge esplanada</t>
  </si>
  <si>
    <t xml:space="preserve">EHL010</t>
  </si>
  <si>
    <t xml:space="preserve">Partida</t>
  </si>
  <si>
    <t xml:space="preserve">M2</t>
  </si>
  <si>
    <t xml:space="preserve">LLOSA MASSISSA.</t>
  </si>
  <si>
    <t xml:space="preserve">LLOSA MASSISSA DE FORMIGÓ ARMAT, EN FORMACIÓ DE PENDENTS, CANTELL 20 CM, REALITZADA AMB FORMIGÓ HA-20/B/20/XC2 FABRICAT EN CENTRAL, I ABOCAMENT AMB CUBILOT; MALLA ELECTROSOLDADA ME 15X15 Ø 10-10 B 500 T 6X2,20 UNE-EN 10080, COM A MALLA SUPERIOR I MALLA ELECTROSOLDADA ME 15X15 Ø 10-10 B 500 T 6X2,20 UNE-EN 10080, COM A MALLA INFERIOR. INCLÚS FILFERRO DE LLIGAR I SEPARADORS.</t>
  </si>
  <si>
    <t xml:space="preserve">Uts.</t>
  </si>
  <si>
    <t xml:space="preserve">Llargada</t>
  </si>
  <si>
    <t xml:space="preserve">Amplada</t>
  </si>
  <si>
    <t xml:space="preserve">Alçada</t>
  </si>
  <si>
    <t xml:space="preserve">Parcial</t>
  </si>
  <si>
    <t xml:space="preserve">Subtotal</t>
  </si>
  <si>
    <t xml:space="preserve">Llosa nord (container + recinte aïllament)</t>
  </si>
  <si>
    <t xml:space="preserve">Llosa sud (mòduls 1-4 i armaris)</t>
  </si>
  <si>
    <t xml:space="preserve">U02005</t>
  </si>
  <si>
    <t xml:space="preserve">Partida</t>
  </si>
  <si>
    <t xml:space="preserve">M3</t>
  </si>
  <si>
    <t xml:space="preserve">FORMIGO DE NETEJA, PER A RASES I</t>
  </si>
  <si>
    <t xml:space="preserve">FORMIGO DE NETEJA, PER A RASES I POUS, DE TIPUS HM-20 ABOCAT DES DE CAMIO</t>
  </si>
  <si>
    <t xml:space="preserve">Uts.</t>
  </si>
  <si>
    <t xml:space="preserve">Llargada</t>
  </si>
  <si>
    <t xml:space="preserve">Amplada</t>
  </si>
  <si>
    <t xml:space="preserve">Alçada</t>
  </si>
  <si>
    <t xml:space="preserve">Parcial</t>
  </si>
  <si>
    <t xml:space="preserve">Subtotal</t>
  </si>
  <si>
    <t xml:space="preserve">Franja perimetral gatera </t>
  </si>
  <si>
    <t xml:space="preserve">0</t>
  </si>
  <si>
    <t xml:space="preserve">U03102</t>
  </si>
  <si>
    <t xml:space="preserve">Partida</t>
  </si>
  <si>
    <t xml:space="preserve">M2</t>
  </si>
  <si>
    <t xml:space="preserve">MONTATGE I DESMUNTATGE D'ENCOFRAT PER A LLOSES, PER A UNA ALÇADA DE COM A MÀXIM 3m, AMB TAULER DE FUSTA DE PI PER A DEIXAR EL FORMIGÓ VIST</t>
  </si>
  <si>
    <t xml:space="preserve">MONTATGE I DESMUNTATGE D'ENCOFRAT PER A LLOSES, PER A UNA ALÇADA DE COM A MÀXIM 3m, AMB TAULER DE FUSTA DE PI PER A DEIXAR EL FORMIGÓ VIST</t>
  </si>
  <si>
    <t xml:space="preserve">Uts.</t>
  </si>
  <si>
    <t xml:space="preserve">Llargada</t>
  </si>
  <si>
    <t xml:space="preserve">Amplada</t>
  </si>
  <si>
    <t xml:space="preserve">Alçada</t>
  </si>
  <si>
    <t xml:space="preserve">Parcial</t>
  </si>
  <si>
    <t xml:space="preserve">Subtotal</t>
  </si>
  <si>
    <t xml:space="preserve">(2*B+2*C)*D</t>
  </si>
  <si>
    <t xml:space="preserve">Encofrat llosa nord</t>
  </si>
  <si>
    <t xml:space="preserve">(2*B+2*C)*D</t>
  </si>
  <si>
    <t xml:space="preserve">Encofrat llosa nord</t>
  </si>
  <si>
    <t xml:space="preserve">(2*B+C)*D</t>
  </si>
  <si>
    <t xml:space="preserve">Encofrat franja perimetral</t>
  </si>
  <si>
    <t xml:space="preserve">CAV010</t>
  </si>
  <si>
    <t xml:space="preserve">Partida</t>
  </si>
  <si>
    <t xml:space="preserve">M3</t>
  </si>
  <si>
    <t xml:space="preserve">BIGA ENTRE LLOSES</t>
  </si>
  <si>
    <t xml:space="preserve">BIGA DE LLIGAT DE FORMIGÓ ARMAT, REALITZADA AMB FORMIGÓ HA-20/B/20/XC2 FABRICAT EN CENTRAL, I ABOCAMENT AMB CUBILOT, I ACER UNE-EN 10080 B 500 S, AMB UNA QUANTIA APROXIMADA DE 85 KG/M³. INCLÚS FILFERRO DE LLIGAR, I SEPARADORS.</t>
  </si>
  <si>
    <t xml:space="preserve">Uts.</t>
  </si>
  <si>
    <t xml:space="preserve">Llargada</t>
  </si>
  <si>
    <t xml:space="preserve">Amplada</t>
  </si>
  <si>
    <t xml:space="preserve">Alçada</t>
  </si>
  <si>
    <t xml:space="preserve">Parcial</t>
  </si>
  <si>
    <t xml:space="preserve">Subtotal</t>
  </si>
  <si>
    <t xml:space="preserve">Riostres Tanca</t>
  </si>
  <si>
    <t xml:space="preserve">FONA</t>
  </si>
  <si>
    <t xml:space="preserve">PAVI</t>
  </si>
  <si>
    <t xml:space="preserve">Capítol</t>
  </si>
  <si>
    <t xml:space="preserve">PAVIMENTACIÓ</t>
  </si>
  <si>
    <t xml:space="preserve">MPO040</t>
  </si>
  <si>
    <t xml:space="preserve">Partida</t>
  </si>
  <si>
    <t xml:space="preserve">m²</t>
  </si>
  <si>
    <t xml:space="preserve">PAVIMENT TERRENC AMB APORTACIÓ DE MATERIAL, STABEX "HEIDELBERGCEMENT HISPANIA".</t>
  </si>
  <si>
    <t xml:space="preserve">PAVIMENT TERRENC DE 20 CM DE GRUIX, DE MESCLA DE SORRA I ESTABILITZANT I CONSOLIDANT DE TERRENYS, STABEX "HEIDELBERGCEMENT HISPANIA", A BASE DE CALÇ HIDRÀULICA NATURAL, FABRICADA EN OBRA I SUBMINISTRADA EN SACS, ESTESA, ANIVELLADA I COMPACTADA AMB MITJANS MECÀNICS, FINS A ACONSEGUIR UNA DENSITAT SECA NO INFERIOR AL 95% DE LA MÀXIMA OBTINGUDA EN L'ASSAIG PROCTOR MODIFICAT, REALITZAT SEGONS UNE 103501. INCLÚS PREPARACIÓ DE LA MESCLA, PERFILAT DE VORES, HUMECTACIÓ, COMPACTAT I NETEJA; SOBRE CAPA BASE JA EXECUTADA</t>
  </si>
  <si>
    <t xml:space="preserve">Uts.</t>
  </si>
  <si>
    <t xml:space="preserve">Llargada</t>
  </si>
  <si>
    <t xml:space="preserve">Amplada</t>
  </si>
  <si>
    <t xml:space="preserve">Alçada</t>
  </si>
  <si>
    <t xml:space="preserve">Parcial</t>
  </si>
  <si>
    <t xml:space="preserve">Subtotal</t>
  </si>
  <si>
    <t xml:space="preserve">Paviment vorera frontal gatera</t>
  </si>
  <si>
    <t xml:space="preserve">U27007</t>
  </si>
  <si>
    <t xml:space="preserve">Partida</t>
  </si>
  <si>
    <t xml:space="preserve">ML</t>
  </si>
  <si>
    <t xml:space="preserve">VORADA RECTA PREFABRICADA DE FOR</t>
  </si>
  <si>
    <t xml:space="preserve">VORADA RECTA PREFABRICADA DE FORMIGó TIPUS FIOL DE 8 X 20 CM SOBRE LLIT DE FORMIGO HM-20 DE 10 CM DE GRUIX. S'INCLOU MOVIMENT DE TERRES I REJUNTAT DE LES PECES AMB MORTER M-40A.</t>
  </si>
  <si>
    <t xml:space="preserve">Uts.</t>
  </si>
  <si>
    <t xml:space="preserve">Llargada</t>
  </si>
  <si>
    <t xml:space="preserve">Amplada</t>
  </si>
  <si>
    <t xml:space="preserve">Alçada</t>
  </si>
  <si>
    <t xml:space="preserve">Parcial</t>
  </si>
  <si>
    <t xml:space="preserve">Subtotal</t>
  </si>
  <si>
    <t xml:space="preserve">Vorada Separació paviment terrenc continu amb escocell</t>
  </si>
  <si>
    <t xml:space="preserve">U27980</t>
  </si>
  <si>
    <t xml:space="preserve">Partida</t>
  </si>
  <si>
    <t xml:space="preserve">M2</t>
  </si>
  <si>
    <t xml:space="preserve">PAVIMENT DE FORMIGÓ HM-20</t>
  </si>
  <si>
    <t xml:space="preserve">PAVIMENT DE FORMIGÓ HM-20, DE 20CM DE GRUIX, EN FORMACIÓ DE PENDENTS, ESCAMPAT DES DE CAMIÓ o DUMPER, ESTESA I VIBRAT MECÀNIC, S'AFEGIRÀ 4KG/M2 DE POLS DE QUARS. S'INCLOU REMOLINAT MECÀNIC I ACABAT ESTRIAT O LLIS, LÀMINA DE POLIETILÈ, JUNT PERIMETRAL REBLERT AMB POLIESTIRÈ EXPANDIT, TALLAT DE JUNTS EN FRESC EN SUPERFÍCIES DE 20M2 MÀXIM, O DISTÀNCIES SUPERIORS A 5M, I SEGELLAT AMB MASSILLA D'EPOXI PLÀSTICA.</t>
  </si>
  <si>
    <t xml:space="preserve">Uts.</t>
  </si>
  <si>
    <t xml:space="preserve">Llargada</t>
  </si>
  <si>
    <t xml:space="preserve">Amplada</t>
  </si>
  <si>
    <t xml:space="preserve">Alçada</t>
  </si>
  <si>
    <t xml:space="preserve">Parcial</t>
  </si>
  <si>
    <t xml:space="preserve">Subtotal</t>
  </si>
  <si>
    <t xml:space="preserve">Pas/accés principal gatera</t>
  </si>
  <si>
    <t xml:space="preserve">U03102</t>
  </si>
  <si>
    <t xml:space="preserve">Partida</t>
  </si>
  <si>
    <t xml:space="preserve">M2</t>
  </si>
  <si>
    <t xml:space="preserve">MONTATGE I DESMUNTATGE D'ENCOFRAT PER A LLOSES, PER A UNA ALÇADA DE COM A MÀXIM 3m, AMB TAULER DE FUSTA DE PI PER A DEIXAR EL FORMIGÓ VIST</t>
  </si>
  <si>
    <t xml:space="preserve">MONTATGE I DESMUNTATGE D'ENCOFRAT PER A LLOSES, PER A UNA ALÇADA DE COM A MÀXIM 3m, AMB TAULER DE FUSTA DE PI PER A DEIXAR EL FORMIGÓ VIST</t>
  </si>
  <si>
    <t xml:space="preserve">Uts.</t>
  </si>
  <si>
    <t xml:space="preserve">Llargada</t>
  </si>
  <si>
    <t xml:space="preserve">Amplada</t>
  </si>
  <si>
    <t xml:space="preserve">Alçada</t>
  </si>
  <si>
    <t xml:space="preserve">Parcial</t>
  </si>
  <si>
    <t xml:space="preserve">Subtotal</t>
  </si>
  <si>
    <t xml:space="preserve">(B+C)*D</t>
  </si>
  <si>
    <t xml:space="preserve">Encofrat paviment accés</t>
  </si>
  <si>
    <t xml:space="preserve">U27106b</t>
  </si>
  <si>
    <t xml:space="preserve">Partida</t>
  </si>
  <si>
    <t xml:space="preserve">M2</t>
  </si>
  <si>
    <t xml:space="preserve">PAVIMENT DE SAULó GARBELLAT</t>
  </si>
  <si>
    <t xml:space="preserve">PAVIMENT DE SAULó GARBELLAT, AMB UN GRUIX DE 20 CM S'INCLOU EL REGATGE I PICONATGE.</t>
  </si>
  <si>
    <t xml:space="preserve">Uts.</t>
  </si>
  <si>
    <t xml:space="preserve">Llargada</t>
  </si>
  <si>
    <t xml:space="preserve">Amplada</t>
  </si>
  <si>
    <t xml:space="preserve">Alçada</t>
  </si>
  <si>
    <t xml:space="preserve">Parcial</t>
  </si>
  <si>
    <t xml:space="preserve">Subtotal</t>
  </si>
  <si>
    <t xml:space="preserve">Espais Exterior Mòdul 1 -4</t>
  </si>
  <si>
    <t xml:space="preserve">PAVI</t>
  </si>
  <si>
    <t xml:space="preserve">EST</t>
  </si>
  <si>
    <t xml:space="preserve">Capítol</t>
  </si>
  <si>
    <t xml:space="preserve">ESTRUCTURES</t>
  </si>
  <si>
    <t xml:space="preserve">FEA020</t>
  </si>
  <si>
    <t xml:space="preserve">Partida</t>
  </si>
  <si>
    <t xml:space="preserve">m²</t>
  </si>
  <si>
    <t xml:space="preserve">MUR DE CÀRREGA DE FÀBRICA ARMADA, DE BLOC DE FORMIGÓ.</t>
  </si>
  <si>
    <t xml:space="preserve">MUR DE CÀRREGA DE 20 CM D'ESPESSOR DE FÀBRICA ARMADA DE BLOC DE FORMIGÓ, LLIS ESTÀNDARD, COLOR GRIS, 40X20X20 CM, RESISTÈNCIA NORMALITZADA R10 (10 N/MM²), PER REVESTIR, AMB JUNTS HORITZONTALS I VERTICALS DE 5 MM D'ESPESSOR, REBUDA AMB MORTER DE CIMENT CONFECCIONAT EN OBRA, AMB 300 KG/M³ DE CIMENT, COLOR GRIS, AMB ADDITIU HIDRÒFUG, DOSIFICACIÓ 1:5, SUBMINISTRAT EN SACS, AMB PECES ESPECIALS TALS COM A MITJOS BLOCS, BLOCS DE CANTONADA I BLOCS EN "U" EN FORMACIÓ DE CÈRCOLS HORITZONTALS I LLINDES, REFORÇAT AMB FORMIGÓ DE REPLÈ, HM-20/F/12/XC2, PREPARAT EN OBRA, ABOCAMENT AMB MITJANS MANUALS, EN LLINDES, CÈRCOLS HORITZONTALS I CÈRCOLS VERTICALS; I ACER UNE-EN 10080 B 500 S, QUANTIA 0,6 KG/M²; ARMADURA DE LLINYOLA PREFABRICADA D'ACER GALVANITZAT EN CALENT AMB RECOBRIMENT DE RESINA EPOXI, DE 3,7 MM DE DIÀMETRE I DE 75 MM D'AMPLADA, RENDIMENT 2,45 M/M². INCLOU CONNECTORS DE DIÀMETRE 12 MM CADA 40 CM. INCLOU FORMACIÓ DE LLINDES EN PORTES, FINESTRES I FORATS DE VENTILACIÓ, ARMADES I FORMIGONADES AMB LA MATEIXA PEÇA.</t>
  </si>
  <si>
    <t xml:space="preserve">Uts.</t>
  </si>
  <si>
    <t xml:space="preserve">Llargada</t>
  </si>
  <si>
    <t xml:space="preserve">Amplada</t>
  </si>
  <si>
    <t xml:space="preserve">Alçada</t>
  </si>
  <si>
    <t xml:space="preserve">Parcial</t>
  </si>
  <si>
    <t xml:space="preserve">Subtotal</t>
  </si>
  <si>
    <t xml:space="preserve">Armari Costat Oest</t>
  </si>
  <si>
    <t xml:space="preserve">0</t>
  </si>
  <si>
    <t xml:space="preserve">Mòdul 1-2</t>
  </si>
  <si>
    <t xml:space="preserve">0</t>
  </si>
  <si>
    <t xml:space="preserve">Deducció Forat Portes</t>
  </si>
  <si>
    <t xml:space="preserve">Mòdul 3-4</t>
  </si>
  <si>
    <t xml:space="preserve">0</t>
  </si>
  <si>
    <t xml:space="preserve">Deducció Forat Portes</t>
  </si>
  <si>
    <t xml:space="preserve">Armari Costat Est</t>
  </si>
  <si>
    <t xml:space="preserve">0</t>
  </si>
  <si>
    <t xml:space="preserve">Mòdul 5</t>
  </si>
  <si>
    <t xml:space="preserve">0</t>
  </si>
  <si>
    <t xml:space="preserve">EST01</t>
  </si>
  <si>
    <t xml:space="preserve">Partida</t>
  </si>
  <si>
    <t xml:space="preserve">ML</t>
  </si>
  <si>
    <t xml:space="preserve">TALL DE BLOCS DE FORMIGÓ</t>
  </si>
  <si>
    <t xml:space="preserve">SUPLEMENT A LA PARTIDA FEA020 EN CONCEPTE DE TALL DE BLOCS DE FORMIGÓ EN FORMACIÓ DE PENDENT DE COBERTA</t>
  </si>
  <si>
    <t xml:space="preserve">Uts.</t>
  </si>
  <si>
    <t xml:space="preserve">Llargada</t>
  </si>
  <si>
    <t xml:space="preserve">Amplada</t>
  </si>
  <si>
    <t xml:space="preserve">Alçada</t>
  </si>
  <si>
    <t xml:space="preserve">Parcial</t>
  </si>
  <si>
    <t xml:space="preserve">Subtotal</t>
  </si>
  <si>
    <t xml:space="preserve">Mòdul 1-4</t>
  </si>
  <si>
    <t xml:space="preserve">0</t>
  </si>
  <si>
    <t xml:space="preserve">0</t>
  </si>
  <si>
    <t xml:space="preserve">Mòdul 5</t>
  </si>
  <si>
    <t xml:space="preserve">0</t>
  </si>
  <si>
    <t xml:space="preserve">U03071</t>
  </si>
  <si>
    <t xml:space="preserve">Partida</t>
  </si>
  <si>
    <t xml:space="preserve">KG</t>
  </si>
  <si>
    <t xml:space="preserve">ACER S275JR PER A ESTRUCTURA</t>
  </si>
  <si>
    <t xml:space="preserve">ACER S275JR PER A ESTRUCTURA AMB PECES SIMPLES O COMPOSTES, AMB PERFILS LAMINATS EN CALENT TIPUS IPN, IPE, HEB, HEA, HEM, UPN, RODÓ, PLATINES, TUB RODÓ, QUADRAT, RECTANGULAR, ... COL.LOCAT A L'OBRA AMB SOLDADURA INCLOENT MERMES I PERDUES. AMB UNA CAPA D'IMPRIMACIÓ ANTI-OXIDANT.</t>
  </si>
  <si>
    <t xml:space="preserve">Uts.</t>
  </si>
  <si>
    <t xml:space="preserve">Llargada</t>
  </si>
  <si>
    <t xml:space="preserve">Kg/m</t>
  </si>
  <si>
    <t xml:space="preserve">Parcial</t>
  </si>
  <si>
    <t xml:space="preserve">Subtotal</t>
  </si>
  <si>
    <t xml:space="preserve">Corretges Mòdul 1-4</t>
  </si>
  <si>
    <t xml:space="preserve">Corretges Mòdul 5</t>
  </si>
  <si>
    <t xml:space="preserve">Estructura de divisió i suport pel muntatge de portes als armaris</t>
  </si>
  <si>
    <t xml:space="preserve">E535525N</t>
  </si>
  <si>
    <t xml:space="preserve">Partida</t>
  </si>
  <si>
    <t xml:space="preserve">m2</t>
  </si>
  <si>
    <t xml:space="preserve">COBERTA PANELL TIPUS GRANJA</t>
  </si>
  <si>
    <t xml:space="preserve">SUBMINISTRAMENT I MUNTATGE DE COBERTA A UNA SOLA VESSANT, FORMADA PER PANELL NERVAT DE POLIÉSTER DE 50 MM DE GRUIX, INCLOU REMATS LATERALS ALS QUATRE COSTATS I FIXACIÓ EN PERFILS D'ACER AMB GANXOS ESPECIALS, AMB PENDENT DEL 25%.</t>
  </si>
  <si>
    <t xml:space="preserve">Uts.</t>
  </si>
  <si>
    <t xml:space="preserve">Llargada</t>
  </si>
  <si>
    <t xml:space="preserve">Amplada</t>
  </si>
  <si>
    <t xml:space="preserve">Alçada</t>
  </si>
  <si>
    <t xml:space="preserve">Parcial</t>
  </si>
  <si>
    <t xml:space="preserve">Subtotal</t>
  </si>
  <si>
    <t xml:space="preserve">Mòduls 1-4</t>
  </si>
  <si>
    <t xml:space="preserve">Mòdul aïllament</t>
  </si>
  <si>
    <t xml:space="preserve">RFP010</t>
  </si>
  <si>
    <t xml:space="preserve">Partida</t>
  </si>
  <si>
    <t xml:space="preserve">m²</t>
  </si>
  <si>
    <t xml:space="preserve">PINTURA PLÀSTICA SOBRE PARAMENT EXTERIOR.</t>
  </si>
  <si>
    <t xml:space="preserve">APLICACIÓ MANUAL DE DUES MANS DE PINTURA PLÀSTICA, COLOR A ESCOLLIR, ACABAT MAT, TEXTURA LLISA, LA PRIMERA MÀ DILUÏDA AMB UN 15 A 20% D'AIGUA I LA SEGÜENT DILUÏDA AMB UN 5 A 10% D'AIGUA O SENSE DILUIR, (RENDIMENT: 0,1 L/M² CADA MÀ); PRÈVIA APLICACIÓ D'UNA MÀ D'EMPRIMACIÓ ACRÍLICA, REGULADORA DE L'ABSORCIÓ, SOBRE PARAMENT EXTERIOR DE FORMIGÓ.</t>
  </si>
  <si>
    <t xml:space="preserve">Uts.</t>
  </si>
  <si>
    <t xml:space="preserve">Total</t>
  </si>
  <si>
    <t xml:space="preserve">Amplada</t>
  </si>
  <si>
    <t xml:space="preserve">Alçada</t>
  </si>
  <si>
    <t xml:space="preserve">Parcial</t>
  </si>
  <si>
    <t xml:space="preserve">Subtotal</t>
  </si>
  <si>
    <t xml:space="preserve">Dos vegades total de m2 de paret de bloc</t>
  </si>
  <si>
    <t xml:space="preserve">Previssió altres +5%</t>
  </si>
  <si>
    <t xml:space="preserve">EST</t>
  </si>
  <si>
    <t xml:space="preserve">INST</t>
  </si>
  <si>
    <t xml:space="preserve">Capítol</t>
  </si>
  <si>
    <t xml:space="preserve">INSTAL·LACIONS</t>
  </si>
  <si>
    <t xml:space="preserve">ELEC</t>
  </si>
  <si>
    <t xml:space="preserve">Capítol</t>
  </si>
  <si>
    <t xml:space="preserve">ELECTRICITAT</t>
  </si>
  <si>
    <t xml:space="preserve">U32500</t>
  </si>
  <si>
    <t xml:space="preserve">Partida</t>
  </si>
  <si>
    <t xml:space="preserve">UT</t>
  </si>
  <si>
    <t xml:space="preserve">PERICO PER REGISTRE 40*40 Tapa C-250</t>
  </si>
  <si>
    <t xml:space="preserve">PERICO PER REGISTRE DE CREUAMENT DE CALÇADA DE 40X40X60 CM INCLOS EL MARC, LA TAPA DE FOSA I ACCESORIS</t>
  </si>
  <si>
    <t xml:space="preserve">Uts.</t>
  </si>
  <si>
    <t xml:space="preserve">Llargada</t>
  </si>
  <si>
    <t xml:space="preserve">Amplada</t>
  </si>
  <si>
    <t xml:space="preserve">Alçada</t>
  </si>
  <si>
    <t xml:space="preserve">Parcial</t>
  </si>
  <si>
    <t xml:space="preserve">Subtotal</t>
  </si>
  <si>
    <t xml:space="preserve">Perico arribada tubular</t>
  </si>
  <si>
    <t xml:space="preserve">Creuament final pati</t>
  </si>
  <si>
    <t xml:space="preserve">U32307</t>
  </si>
  <si>
    <t xml:space="preserve">Partida</t>
  </si>
  <si>
    <t xml:space="preserve">ML</t>
  </si>
  <si>
    <t xml:space="preserve">CANALITZACIO AMB DOS TUBS PVC 90mm</t>
  </si>
  <si>
    <t xml:space="preserve">CANALITZACIÓ AMB DOS TUBS PVC CORRUGAT DIAM. 90 MM. S'INCLOU RASA DE 40X60 CM, TUBS ENVOLTAT DE SORRA AMB UN GRUIX DE 20 CM, REBLIMENT I PICONATGE FINS AL 95% DEL PROCTOR MODIFICAT, CARREGA I TRANSPORT DE TERRES SOBRANTS A L'ABOCADOR. S'INCLOU SUBMINISTRE I COL.LOCACIÓ DE CINTA DE SENYALITZACIÓ I PLAQUES DE PE DE PROTECCIÓ, PREVI AL REBLIMENT DE LA RASA.</t>
  </si>
  <si>
    <t xml:space="preserve">Uts.</t>
  </si>
  <si>
    <t xml:space="preserve">Llargada</t>
  </si>
  <si>
    <t xml:space="preserve">Amplada</t>
  </si>
  <si>
    <t xml:space="preserve">Alçada</t>
  </si>
  <si>
    <t xml:space="preserve">Parcial</t>
  </si>
  <si>
    <t xml:space="preserve">Subtotal</t>
  </si>
  <si>
    <t xml:space="preserve">Canalització fins a mòdul prefabricat</t>
  </si>
  <si>
    <t xml:space="preserve">Creuament final pati</t>
  </si>
  <si>
    <t xml:space="preserve">IEH012</t>
  </si>
  <si>
    <t xml:space="preserve">Partida</t>
  </si>
  <si>
    <t xml:space="preserve">m</t>
  </si>
  <si>
    <t xml:space="preserve">CABLE ELÈCTRIC DE 0,6/1 KV DE TENSIÓ NOMINAL.</t>
  </si>
  <si>
    <t xml:space="preserve">CABLE MULTIPOLAR RZ1-K (AS), SENT LA SEVA TENSIÓ ASSIGNADA DE 0,6/1 KV, REACCIÓ AL FOC CLASSE CCA-S1B,D1,A1, AMB CONDUCTOR DE COURE CLASSE 5 (-K) DE 5G6 MM² DE SECCIÓ, AMB AÏLLAMENT DE POLIETILÈ RETICULAT (R) I COBERTA DE COMPOST TERMOPLÀSTIC A FORÇA DE POLIOLEFINA LLIURE DE HALÒGENS AMB BAIXA EMISSIÓ DE FUMS I GASOS CORROSIUS (Z1). INCLÚS ACCESSORIS I ELEMENTS DE SUBJECCIÓ.</t>
  </si>
  <si>
    <t xml:space="preserve">Uts.</t>
  </si>
  <si>
    <t xml:space="preserve">Llargada</t>
  </si>
  <si>
    <t xml:space="preserve">Amplada</t>
  </si>
  <si>
    <t xml:space="preserve">Alçada</t>
  </si>
  <si>
    <t xml:space="preserve">Parcial</t>
  </si>
  <si>
    <t xml:space="preserve">Subtotal</t>
  </si>
  <si>
    <t xml:space="preserve">Previssió escomesa mòdul prefabricat</t>
  </si>
  <si>
    <t xml:space="preserve">IEC010</t>
  </si>
  <si>
    <t xml:space="preserve">Partida</t>
  </si>
  <si>
    <t xml:space="preserve">U</t>
  </si>
  <si>
    <t xml:space="preserve">CAIXA DE PROTECCIÓ I MESURA.</t>
  </si>
  <si>
    <t xml:space="preserve">SUBMINISTRAMENT I INSTAL·LACIÓ EN L'INTERIOR DE FORNÍCULA MURAL, EN HABITATGE UNIFAMILIAR O LOCAL, DE CAIXA DE PROTECCIÓ I MESURA CPM2-S4, DE FINS A 63 A D'INTENSITAT, PER 1 COMPTADOR TRIFÀSIC, FORMADA PER UNA ENVOLTANT AÏLLANT, PRECINTABLE, AUTOVENTILADA I AMB ESPIELL DE MATERIAL TRANSPARENT RESISTENT A L'ACCIÓ DELS RAIGS ULTRAVIOLETES, PER A INSTAL·LACIÓ ENCASTADA. INCLÚS EQUIP COMPLERT DE MESURA, BORNS DE CONNEXIÓ, BASES TALLACIRCUITS I FUSIBLES PER A PROTECCIÓ DE LA DERIVACIÓ INDIVIDUAL. NORMALITZADA PER L'EMPRESA SUBMINISTRADORA I PREPARADA PER CONNEXIÓ DE SERVEI SUBTERRÀNIA. TOTALMENT MUNTADA, CONNEXIONADA I PROVADA.</t>
  </si>
  <si>
    <t xml:space="preserve">Uts.</t>
  </si>
  <si>
    <t xml:space="preserve">Llargada</t>
  </si>
  <si>
    <t xml:space="preserve">Amplada</t>
  </si>
  <si>
    <t xml:space="preserve">Alçada</t>
  </si>
  <si>
    <t xml:space="preserve">Parcial</t>
  </si>
  <si>
    <t xml:space="preserve">Subtotal</t>
  </si>
  <si>
    <t xml:space="preserve">CGP</t>
  </si>
  <si>
    <t xml:space="preserve">IEX064</t>
  </si>
  <si>
    <t xml:space="preserve">Partida</t>
  </si>
  <si>
    <t xml:space="preserve">U</t>
  </si>
  <si>
    <t xml:space="preserve">INTERRUPTOR DIFERENCIAL MODULAR, "SCHNEIDER ELECTRIC".</t>
  </si>
  <si>
    <t xml:space="preserve">INTERRUPTOR DIFERENCIAL INSTANTANI, BIPOLAR (2P), INTENSITAT NOMINAL 40 A, SENSIBILITAT 30 MA, CLASSE AC, MODEL IID A9R60240 "SCHNEIDER ELECTRIC", DE 36X96X69 MM, MUNTATGE SOBRE CARRIL DIN, AMB CONNEXIÓ MITJANÇANT BORNS DE CAIXA PER A CABLES DE COURE. TOTALMENT MUNTAT, CONNEXIONAT I PROVAT.</t>
  </si>
  <si>
    <t xml:space="preserve">Uts.</t>
  </si>
  <si>
    <t xml:space="preserve">Llargada</t>
  </si>
  <si>
    <t xml:space="preserve">Amplada</t>
  </si>
  <si>
    <t xml:space="preserve">Alçada</t>
  </si>
  <si>
    <t xml:space="preserve">Parcial</t>
  </si>
  <si>
    <t xml:space="preserve">Subtotal</t>
  </si>
  <si>
    <t xml:space="preserve">Endolls i enllumenat mòduls</t>
  </si>
  <si>
    <t xml:space="preserve">IEX064b</t>
  </si>
  <si>
    <t xml:space="preserve">Partida</t>
  </si>
  <si>
    <t xml:space="preserve">U</t>
  </si>
  <si>
    <t xml:space="preserve">INTERRUPTOR DIFERENCIAL MODULAR, "SCHNEIDER ELECTRIC".</t>
  </si>
  <si>
    <t xml:space="preserve">INTERRUPTOR DIFERENCIAL INSTANTANI, TETRAPOLAR (4P), INTENSITAT NOMINAL 40 A, SENSIBILITAT 300 MA, CLASSE AC, MODEL ID-K A9Z06440 "SCHNEIDER ELECTRIC", DE 72X96X69 MM, MUNTATGE SOBRE CARRIL DIN, AMB CONNEXIÓ MITJANÇANT BORNS DE CAIXA PER A CABLES DE COURE. TOTALMENT MUNTAT, CONNEXIONAT I PROVAT.</t>
  </si>
  <si>
    <t xml:space="preserve">Uts.</t>
  </si>
  <si>
    <t xml:space="preserve">Llargada</t>
  </si>
  <si>
    <t xml:space="preserve">Amplada</t>
  </si>
  <si>
    <t xml:space="preserve">Alçada</t>
  </si>
  <si>
    <t xml:space="preserve">Parcial</t>
  </si>
  <si>
    <t xml:space="preserve">Subtotal</t>
  </si>
  <si>
    <t xml:space="preserve">Línia a mòdul prefabricat</t>
  </si>
  <si>
    <t xml:space="preserve">IEX050</t>
  </si>
  <si>
    <t xml:space="preserve">Partida</t>
  </si>
  <si>
    <t xml:space="preserve">U</t>
  </si>
  <si>
    <t xml:space="preserve">INTERRUPTOR AUTOMÀTIC MAGNETOTÈRMIC, MODULAR.</t>
  </si>
  <si>
    <t xml:space="preserve">INTERRUPTOR AUTOMÀTIC MAGNETOTÈRMIC, TETRAPOLAR (4P), INTENSITAT NOMINAL 40 A, PODER DE TALL 6 KA, CORBA C, MODEL IK60N A9K24440 "SCHNEIDER ELECTRIC", DE 72X94X78,5 MM, GRAU DE PROTECCIÓ IP20, MUNTATGE SOBRE CARRIL DIN (35 MM). TOTALMENT MUNTAT, CONNEXIONAT I PROVAT.</t>
  </si>
  <si>
    <t xml:space="preserve">Uts.</t>
  </si>
  <si>
    <t xml:space="preserve">Llargada</t>
  </si>
  <si>
    <t xml:space="preserve">Amplada</t>
  </si>
  <si>
    <t xml:space="preserve">Alçada</t>
  </si>
  <si>
    <t xml:space="preserve">Parcial</t>
  </si>
  <si>
    <t xml:space="preserve">Subtotal</t>
  </si>
  <si>
    <t xml:space="preserve">Línia a mòdul prefabricat</t>
  </si>
  <si>
    <t xml:space="preserve">IEX050b</t>
  </si>
  <si>
    <t xml:space="preserve">Partida</t>
  </si>
  <si>
    <t xml:space="preserve">U</t>
  </si>
  <si>
    <t xml:space="preserve">INTERRUPTOR AUTOMÀTIC MAGNETOTÈRMIC, MODULAR.</t>
  </si>
  <si>
    <t xml:space="preserve">INTERRUPTOR AUTOMÀTIC MAGNETOTÈRMIC, BIPOLAR (2P), INTENSITAT NOMINAL 16 A, PODER DE TALL 6 KA, CORBA C, MODEL IK60N A9K17216 "SCHNEIDER ELECTRIC", DE 36X94X78,5 MM, GRAU DE PROTECCIÓ IP20, MUNTATGE SOBRE CARRIL DIN (35 MM). TOTALMENT MUNTAT, CONNEXIONAT I PROVAT.</t>
  </si>
  <si>
    <t xml:space="preserve">Uts.</t>
  </si>
  <si>
    <t xml:space="preserve">Llargada</t>
  </si>
  <si>
    <t xml:space="preserve">Amplada</t>
  </si>
  <si>
    <t xml:space="preserve">Alçada</t>
  </si>
  <si>
    <t xml:space="preserve">Parcial</t>
  </si>
  <si>
    <t xml:space="preserve">Subtotal</t>
  </si>
  <si>
    <t xml:space="preserve">Endolls</t>
  </si>
  <si>
    <t xml:space="preserve">IEX050c</t>
  </si>
  <si>
    <t xml:space="preserve">Partida</t>
  </si>
  <si>
    <t xml:space="preserve">U</t>
  </si>
  <si>
    <t xml:space="preserve">INTERRUPTOR AUTOMÀTIC MAGNETOTÈRMIC, MODULAR.</t>
  </si>
  <si>
    <t xml:space="preserve">INTERRUPTOR AUTOMÀTIC MAGNETOTÈRMIC, BIPOLAR (2P), INTENSITAT NOMINAL 10 A, PODER DE TALL 6 KA, CORBA C, MODEL IK60N A9K17210 "SCHNEIDER ELECTRIC", DE 36X94X78,5 MM, GRAU DE PROTECCIÓ IP20, MUNTATGE SOBRE CARRIL DIN (35 MM). TOTALMENT MUNTAT, CONNEXIONAT I PROVAT.</t>
  </si>
  <si>
    <t xml:space="preserve">Uts.</t>
  </si>
  <si>
    <t xml:space="preserve">Llargada</t>
  </si>
  <si>
    <t xml:space="preserve">Amplada</t>
  </si>
  <si>
    <t xml:space="preserve">Alçada</t>
  </si>
  <si>
    <t xml:space="preserve">Parcial</t>
  </si>
  <si>
    <t xml:space="preserve">Subtotal</t>
  </si>
  <si>
    <t xml:space="preserve">Enllumenat</t>
  </si>
  <si>
    <t xml:space="preserve">IEX078</t>
  </si>
  <si>
    <t xml:space="preserve">Partida</t>
  </si>
  <si>
    <t xml:space="preserve">U</t>
  </si>
  <si>
    <t xml:space="preserve">INTERRUPTOR COMBINAT MAGNETOTÈRMIC-PROTECTORS CONTRA SOBRETENSIONS PERMANENTS I TRANSITÒRIES, MODULAR.</t>
  </si>
  <si>
    <t xml:space="preserve">INTERRUPTOR COMBINAT MAGNETOTÈRMIC-PROTECTORS CONTRA SOBRETENSIONS PERMANENTS I TRANSITÒRIES, DE 15 MÒDULS, FORMAT PER INTERRUPTOR AUTOMÀTIC MAGNETOTÈRMIC, TETRAPOLAR (4P), INTENSITAT NOMINAL 10 A, PODER DE TALL 6 KA, CORBA C, PROTECTOR CONTRA SOBRETENSIONS PERMANENTS, PROTECTOR CONTRA SOBRETENSIONS TRANSITÒRIES TIPUS 2 (ONA 8/20 µS), NIVELL DE PROTECCIÓ 2 KV, INTENSITAT MÀXIMA DE DESCÀRREGA 15 KA, I INTERRUPTOR AUTOMÀTIC MAGNETOTÈRMIC TETRAPOLAR (4P), INTENSITAT NOMINAL 20 A, PODER DE TALL 6 KA, PER A LA PROTECCIÓ DE LA LÍNIA DE TERRA, DE 270X80X77,8 MM, GRAU DE PROTECCIÓ IP20, MUNTATGE SOBRE CARRIL DIN (35 MM) I FIXACIÓ A CARRIL MITJANÇANT GRAPES. TOTALMENT MUNTAT, CONNEXIONAT I PROVAT.</t>
  </si>
  <si>
    <t xml:space="preserve">Uts.</t>
  </si>
  <si>
    <t xml:space="preserve">Llargada</t>
  </si>
  <si>
    <t xml:space="preserve">Amplada</t>
  </si>
  <si>
    <t xml:space="preserve">Alçada</t>
  </si>
  <si>
    <t xml:space="preserve">Parcial</t>
  </si>
  <si>
    <t xml:space="preserve">Subtotal</t>
  </si>
  <si>
    <t xml:space="preserve">General</t>
  </si>
  <si>
    <t xml:space="preserve">IEX105</t>
  </si>
  <si>
    <t xml:space="preserve">Partida</t>
  </si>
  <si>
    <t xml:space="preserve">U</t>
  </si>
  <si>
    <t xml:space="preserve">CONTACTOR MODULAR.</t>
  </si>
  <si>
    <t xml:space="preserve">CONTACTOR, UNIPOLAR (1P) (1NO), INTENSITAT NOMINAL 25 A, TENSIÓ DE BOBINA 230 V, MODEL ICT A9C20731 "SCHNEIDER ELECTRIC", DE 18X81X60 MM, GRAU DE PROTECCIÓ IP20, MUNTATGE SOBRE CARRIL DIN (35 MM). TOTALMENT MUNTAT, CONNEXIONAT I PROVAT.</t>
  </si>
  <si>
    <t xml:space="preserve">Uts.</t>
  </si>
  <si>
    <t xml:space="preserve">Llargada</t>
  </si>
  <si>
    <t xml:space="preserve">Amplada</t>
  </si>
  <si>
    <t xml:space="preserve">Alçada</t>
  </si>
  <si>
    <t xml:space="preserve">Parcial</t>
  </si>
  <si>
    <t xml:space="preserve">Subtotal</t>
  </si>
  <si>
    <t xml:space="preserve">Previssió</t>
  </si>
  <si>
    <t xml:space="preserve">IEX130</t>
  </si>
  <si>
    <t xml:space="preserve">Partida</t>
  </si>
  <si>
    <t xml:space="preserve">U</t>
  </si>
  <si>
    <t xml:space="preserve">INTERRUPTOR CREPUSCULAR MODULAR.</t>
  </si>
  <si>
    <t xml:space="preserve">INTERRUPTOR CREPUSCULAR, AMB CÈL·LULA FOTOELÈCTRICA. TOTALMENT MUNTAT, CONNEXIONAT I PROVAT.</t>
  </si>
  <si>
    <t xml:space="preserve">Uts.</t>
  </si>
  <si>
    <t xml:space="preserve">Llargada</t>
  </si>
  <si>
    <t xml:space="preserve">Amplada</t>
  </si>
  <si>
    <t xml:space="preserve">Alçada</t>
  </si>
  <si>
    <t xml:space="preserve">Parcial</t>
  </si>
  <si>
    <t xml:space="preserve">Subtotal</t>
  </si>
  <si>
    <t xml:space="preserve">IEX410</t>
  </si>
  <si>
    <t xml:space="preserve">Partida</t>
  </si>
  <si>
    <t xml:space="preserve">U</t>
  </si>
  <si>
    <t xml:space="preserve">ARMARI D'ABONAT, MODULAR.</t>
  </si>
  <si>
    <t xml:space="preserve">ARMARI DE DISTRIBUCIÓ TERMOPLÀSTIC O METÀL·LIC, DE SUPERFÍCIE, AMB PORTA TRANSPARENT, GRAU DE PROTECCIÓ IP40, AÏLLAMENT CLASSE II, PER A 72 MÒDULS, EN 3 FILES, AMB EMPLAÇAMENT PER A UN KIT D'EQUIPAMENT EN DUES FILES, DE 600X580X95 MM, AMB CARRIL DIN, TANCAMENT AMB CLAU, ACABAT AMB PINTURA EPOXI I SOSTRE I TERRA DESMUNTABLES, AMB KIT PER AL PRECINTAT DE L'INTERRUPTOR DE CONTROL DE POTÈNCIA. TOTALMENT MUNTAT.</t>
  </si>
  <si>
    <t xml:space="preserve">Uts.</t>
  </si>
  <si>
    <t xml:space="preserve">Llargada</t>
  </si>
  <si>
    <t xml:space="preserve">Amplada</t>
  </si>
  <si>
    <t xml:space="preserve">Alçada</t>
  </si>
  <si>
    <t xml:space="preserve">Parcial</t>
  </si>
  <si>
    <t xml:space="preserve">Subtotal</t>
  </si>
  <si>
    <t xml:space="preserve">Armari</t>
  </si>
  <si>
    <t xml:space="preserve">IEM026</t>
  </si>
  <si>
    <t xml:space="preserve">Partida</t>
  </si>
  <si>
    <t xml:space="preserve">U</t>
  </si>
  <si>
    <t xml:space="preserve">INTERRUPTOR DE SUPERFÍCIE, ESTANC.</t>
  </si>
  <si>
    <t xml:space="preserve">INTERRUPTOR UNIPOLAR (1P) ESTANC, AMB GRAU DE PROTECCIÓ IP55, MONOBLOC, AMB PILOT LLUMINÓS INDICADOR DE CÀRREGA CONNECTADA, GAMMA BÀSICA, INTENSITAT ASSIGNADA 10 AX, TENSIÓ ASSIGNADA 250 V, AMB TECLA AMB VISOR I CAIXA, DE COLOR GRIS. INSTAL·LACIÓ EN SUPERFÍCIE.</t>
  </si>
  <si>
    <t xml:space="preserve">Uts.</t>
  </si>
  <si>
    <t xml:space="preserve">Llargada</t>
  </si>
  <si>
    <t xml:space="preserve">Amplada</t>
  </si>
  <si>
    <t xml:space="preserve">Alçada</t>
  </si>
  <si>
    <t xml:space="preserve">Parcial</t>
  </si>
  <si>
    <t xml:space="preserve">Subtotal</t>
  </si>
  <si>
    <t xml:space="preserve">Mòduls 1-5</t>
  </si>
  <si>
    <t xml:space="preserve">Previssió altres</t>
  </si>
  <si>
    <t xml:space="preserve">IEM066</t>
  </si>
  <si>
    <t xml:space="preserve">Partida</t>
  </si>
  <si>
    <t xml:space="preserve">U</t>
  </si>
  <si>
    <t xml:space="preserve">BASE DE PRESA DE CORRENT ESTANCA, DE SUPERFÍCIE.</t>
  </si>
  <si>
    <t xml:space="preserve">BASE DE PRESA DE CORRENT AMB CONTACTE DE TERRA (2P+T), ESTANCA, TIPUS SCHUKO, AMB GRAU DE PROTECCIÓ IP55, MONOBLOC, GAMMA BÀSICA, INTENSITAT ASSIGNADA 16 A, TENSIÓ ASSIGNADA 250 V, AMB TAPA I CAIXA AMB TAPA, DE COLOR GRIS. INSTAL·LACIÓ EN SUPERFÍCIE.</t>
  </si>
  <si>
    <t xml:space="preserve">Uts.</t>
  </si>
  <si>
    <t xml:space="preserve">Llargada</t>
  </si>
  <si>
    <t xml:space="preserve">Amplada</t>
  </si>
  <si>
    <t xml:space="preserve">Alçada</t>
  </si>
  <si>
    <t xml:space="preserve">Parcial</t>
  </si>
  <si>
    <t xml:space="preserve">Subtotal</t>
  </si>
  <si>
    <t xml:space="preserve">Mòduls 1-5</t>
  </si>
  <si>
    <t xml:space="preserve">IEO010</t>
  </si>
  <si>
    <t xml:space="preserve">Partida</t>
  </si>
  <si>
    <t xml:space="preserve">m</t>
  </si>
  <si>
    <t xml:space="preserve">CANALITZACIÓ.</t>
  </si>
  <si>
    <t xml:space="preserve">CANALITZACIÓ DE TUB RÍGID DE POLICARBONAT, EXEMPT D'HALÒGENS, ENDOLLABLE, CORBABLE EN CALENT, DE COLOR GRIS, DE 25 MM DE DIÀMETRE NOMINAL, RESISTÈNCIA A LA COMPRESSIÓ 1250 N, AMB GRAU DE PROTECCIÓ IP547. INSTAL·LACIÓ FIX EN SUPERFÍCIE.</t>
  </si>
  <si>
    <t xml:space="preserve">Uts.</t>
  </si>
  <si>
    <t xml:space="preserve">Llargada</t>
  </si>
  <si>
    <t xml:space="preserve">Amplada</t>
  </si>
  <si>
    <t xml:space="preserve">Alçada</t>
  </si>
  <si>
    <t xml:space="preserve">Parcial</t>
  </si>
  <si>
    <t xml:space="preserve">Subtotal</t>
  </si>
  <si>
    <t xml:space="preserve">D'armari a arqueta sud pati</t>
  </si>
  <si>
    <t xml:space="preserve">IEO010b</t>
  </si>
  <si>
    <t xml:space="preserve">Partida</t>
  </si>
  <si>
    <t xml:space="preserve">m</t>
  </si>
  <si>
    <t xml:space="preserve">CANALITZACIÓ.</t>
  </si>
  <si>
    <t xml:space="preserve">CANALITZACIÓ DE TUB RÍGID DE POLICARBONAT, EXEMPT D'HALÒGENS, ENDOLLABLE, CORBABLE EN CALENT, DE COLOR GRIS, DE 20 MM DE DIÀMETRE NOMINAL, RESISTÈNCIA A LA COMPRESSIÓ 1250 N, AMB GRAU DE PROTECCIÓ IP547. INSTAL·LACIÓ FIX EN SUPERFÍCIE.</t>
  </si>
  <si>
    <t xml:space="preserve">Uts.</t>
  </si>
  <si>
    <t xml:space="preserve">Llargada</t>
  </si>
  <si>
    <t xml:space="preserve">Amplada</t>
  </si>
  <si>
    <t xml:space="preserve">Alçada</t>
  </si>
  <si>
    <t xml:space="preserve">Parcial</t>
  </si>
  <si>
    <t xml:space="preserve">Subtotal</t>
  </si>
  <si>
    <t xml:space="preserve">Distribució interior mòduls</t>
  </si>
  <si>
    <t xml:space="preserve">8781ILU</t>
  </si>
  <si>
    <t xml:space="preserve">Partida</t>
  </si>
  <si>
    <t xml:space="preserve">UT</t>
  </si>
  <si>
    <t xml:space="preserve">APLIC PARET EXTERIOR</t>
  </si>
  <si>
    <t xml:space="preserve">SUMINISTREMENT I COL.LOCACIÓ D'APLIC CLÀSSIC PER EXTERIOR FABRICAT AMB PVC, DIFUSOR DE VIDRE TRANSLÚCID I REIXETA DE METALL. INCLOU BOMBETA 1 X E27 17W LED. MODEL CRIPTA AMB REF: 71003 DE FARO.</t>
  </si>
  <si>
    <t xml:space="preserve">Uts.</t>
  </si>
  <si>
    <t xml:space="preserve">Llargada</t>
  </si>
  <si>
    <t xml:space="preserve">Amplada</t>
  </si>
  <si>
    <t xml:space="preserve">Alçada</t>
  </si>
  <si>
    <t xml:space="preserve">Parcial</t>
  </si>
  <si>
    <t xml:space="preserve">Subtotal</t>
  </si>
  <si>
    <t xml:space="preserve">Total Gatera</t>
  </si>
  <si>
    <t xml:space="preserve">IEH012b</t>
  </si>
  <si>
    <t xml:space="preserve">Partida</t>
  </si>
  <si>
    <t xml:space="preserve">m</t>
  </si>
  <si>
    <t xml:space="preserve">CABLE ELÈCTRIC DE 0,6/1 KV DE TENSIÓ NOMINAL.</t>
  </si>
  <si>
    <t xml:space="preserve">CABLE UNIPOLAR SZ1-K (AS+), SENT LA SEVA TENSIÓ ASSIGNADA DE 0,6/1 KV, REACCIÓ AL FOC CLASSE CCA-S1B,D1,A1, AMB CONDUCTOR DE COURE CLASSE 5 (-K) DE 1,5 MM² DE SECCIÓ, AMB AÏLLAMENT DE COMPOST TERMOESTABLE ESPECIAL IGNÍFUG I COBERTA DE COMPOST TERMOPLÀSTIC A FORÇA DE POLIOLEFINA AMB BAIXA EMISSIÓ DE FUMS I GASOS CORROSIUS (Z1) DE COLOR TARONJA. INCLÚS ACCESSORIS I ELEMENTS DE SUBJECCIÓ.</t>
  </si>
  <si>
    <t xml:space="preserve">Uts.</t>
  </si>
  <si>
    <t xml:space="preserve">Llargada</t>
  </si>
  <si>
    <t xml:space="preserve">Amplada</t>
  </si>
  <si>
    <t xml:space="preserve">Alçada</t>
  </si>
  <si>
    <t xml:space="preserve">Parcial</t>
  </si>
  <si>
    <t xml:space="preserve">Subtotal</t>
  </si>
  <si>
    <t xml:space="preserve">Enllumenat - Tirada fins a mòdul 5 [F+N+TT+F(interruptor crepuscular)]</t>
  </si>
  <si>
    <t xml:space="preserve">Enllumenat - Distribució interior (cada mòdul 10m de F+N+TT = 10x3 =30m)</t>
  </si>
  <si>
    <t xml:space="preserve">IEH012c</t>
  </si>
  <si>
    <t xml:space="preserve">Partida</t>
  </si>
  <si>
    <t xml:space="preserve">m</t>
  </si>
  <si>
    <t xml:space="preserve">CABLE ELÈCTRIC DE 0,6/1 KV DE TENSIÓ NOMINAL.</t>
  </si>
  <si>
    <t xml:space="preserve">CABLE UNIPOLAR SZ1-K (AS+), SENT LA SEVA TENSIÓ ASSIGNADA DE 0,6/1 KV, REACCIÓ AL FOC CLASSE CCA-S1B,D1,A1, AMB CONDUCTOR DE COURE CLASSE 5 (-K) DE 2,5 MM² DE SECCIÓ, AMB AÏLLAMENT DE COMPOST TERMOESTABLE ESPECIAL IGNÍFUG I COBERTA DE COMPOST TERMOPLÀSTIC A FORÇA DE POLIOLEFINA AMB BAIXA EMISSIÓ DE FUMS I GASOS CORROSIUS (Z1) DE COLOR TARONJA. INCLÚS ACCESSORIS I ELEMENTS DE SUBJECCIÓ.</t>
  </si>
  <si>
    <t xml:space="preserve">Uts.</t>
  </si>
  <si>
    <t xml:space="preserve">Llargada</t>
  </si>
  <si>
    <t xml:space="preserve">Amplada</t>
  </si>
  <si>
    <t xml:space="preserve">Alçada</t>
  </si>
  <si>
    <t xml:space="preserve">Parcial</t>
  </si>
  <si>
    <t xml:space="preserve">Subtotal</t>
  </si>
  <si>
    <t xml:space="preserve">Endolls - Distribució interior (cada mòdul 6m de F+N+TT = 6x3 =18m)</t>
  </si>
  <si>
    <t xml:space="preserve">IEH012d</t>
  </si>
  <si>
    <t xml:space="preserve">Partida</t>
  </si>
  <si>
    <t xml:space="preserve">m</t>
  </si>
  <si>
    <t xml:space="preserve">CABLE ELÈCTRIC DE 0,6/1 KV DE TENSIÓ NOMINAL.</t>
  </si>
  <si>
    <t xml:space="preserve">CABLE UNIPOLAR SZ1-K (AS+), SENT LA SEVA TENSIÓ ASSIGNADA DE 0,6/1 KV, REACCIÓ AL FOC CLASSE CCA-S1B,D1,A1, AMB CONDUCTOR DE COURE CLASSE 5 (-K) DE 4 MM² DE SECCIÓ, AMB AÏLLAMENT DE COMPOST TERMOESTABLE ESPECIAL IGNÍFUG I COBERTA DE COMPOST TERMOPLÀSTIC A FORÇA DE POLIOLEFINA AMB BAIXA EMISSIÓ DE FUMS I GASOS CORROSIUS (Z1) DE COLOR TARONJA. INCLÚS ACCESSORIS I ELEMENTS DE SUBJECCIÓ.</t>
  </si>
  <si>
    <t xml:space="preserve">Uts.</t>
  </si>
  <si>
    <t xml:space="preserve">Llargada</t>
  </si>
  <si>
    <t xml:space="preserve">Amplada</t>
  </si>
  <si>
    <t xml:space="preserve">Alçada</t>
  </si>
  <si>
    <t xml:space="preserve">Parcial</t>
  </si>
  <si>
    <t xml:space="preserve">Subtotal</t>
  </si>
  <si>
    <t xml:space="preserve">Endolls - Tirada fins a mòdul 5 [F+N+TT]</t>
  </si>
  <si>
    <t xml:space="preserve">IOD025</t>
  </si>
  <si>
    <t xml:space="preserve">Partida</t>
  </si>
  <si>
    <t xml:space="preserve">U</t>
  </si>
  <si>
    <t xml:space="preserve">SUBMINISTRAMENT I INSTAL·LACIÓ EN SUPERFÍCIE DE CAIXA DE DERIVACIÓ ESTANCA, RECTANGULAR, DE 175X225X100 MM</t>
  </si>
  <si>
    <t xml:space="preserve">SUBMINISTRAMENT I INSTAL·LACIÓ EN SUPERFÍCIE DE CAIXA DE DERIVACIÓ ESTANCA, RECTANGULAR, DE 175X225X100 MM, AMB 12 CONS I TAPA DE REGISTRE AMB CARGOLS DE 1/4 DE VOLTA. INCLÚS REGLETS DE CONNEXIÓ I ELEMENTS DE FIXACIÓ.</t>
  </si>
  <si>
    <t xml:space="preserve">Uts.</t>
  </si>
  <si>
    <t xml:space="preserve">Llargada</t>
  </si>
  <si>
    <t xml:space="preserve">Amplada</t>
  </si>
  <si>
    <t xml:space="preserve">Alçada</t>
  </si>
  <si>
    <t xml:space="preserve">Parcial</t>
  </si>
  <si>
    <t xml:space="preserve">Subtotal</t>
  </si>
  <si>
    <t xml:space="preserve">Total instal·lació</t>
  </si>
  <si>
    <t xml:space="preserve">IOD025b</t>
  </si>
  <si>
    <t xml:space="preserve">Partida</t>
  </si>
  <si>
    <t xml:space="preserve">U</t>
  </si>
  <si>
    <t xml:space="preserve">SUBMINISTRAMENT I INSTAL·LACIÓ EN SUPERFÍCIE DE CAIXA DE DERIVACIÓ ESTANCA, RECTANGULAR, DE 105X105X55 MM</t>
  </si>
  <si>
    <t xml:space="preserve">SUBMINISTRAMENT I INSTAL·LACIÓ EN SUPERFÍCIE DE CAIXA DE DERIVACIÓ ESTANCA, RECTANGULAR, DE 105X105X55 MM, AMB CONS I TAPA DE REGISTRE AMB CARGOLS DE 1/4 DE VOLTA. INCLÚS REGLETS DE CONNEXIÓ I ELEMENTS DE FIXACIÓ.</t>
  </si>
  <si>
    <t xml:space="preserve">Uts.</t>
  </si>
  <si>
    <t xml:space="preserve">Llargada</t>
  </si>
  <si>
    <t xml:space="preserve">Amplada</t>
  </si>
  <si>
    <t xml:space="preserve">Alçada</t>
  </si>
  <si>
    <t xml:space="preserve">Parcial</t>
  </si>
  <si>
    <t xml:space="preserve">Subtotal</t>
  </si>
  <si>
    <t xml:space="preserve">Total instal·lació</t>
  </si>
  <si>
    <t xml:space="preserve">8781FEC</t>
  </si>
  <si>
    <t xml:space="preserve">Partida</t>
  </si>
  <si>
    <t xml:space="preserve">UT</t>
  </si>
  <si>
    <t xml:space="preserve">SUBMINISTRAMENT</t>
  </si>
  <si>
    <t xml:space="preserve">PARTIDA A ABONAR A LA COMPANYIA SUBMINISTRADORA PER DONAR D'ALTA EL SERVEI, EN CONCEPTE DE LES TASQUES NECESSÀRIES PER CONECTAR LA CGP A LA XARXA EXISTENT DE BT AL MATEIX CARRER.</t>
  </si>
  <si>
    <t xml:space="preserve">Uts.</t>
  </si>
  <si>
    <t xml:space="preserve">Llargada</t>
  </si>
  <si>
    <t xml:space="preserve">Amplada</t>
  </si>
  <si>
    <t xml:space="preserve">Alçada</t>
  </si>
  <si>
    <t xml:space="preserve">Parcial</t>
  </si>
  <si>
    <t xml:space="preserve">Subtotal</t>
  </si>
  <si>
    <t xml:space="preserve">ALTA BT</t>
  </si>
  <si>
    <t xml:space="preserve">ELEC</t>
  </si>
  <si>
    <t xml:space="preserve">AIG</t>
  </si>
  <si>
    <t xml:space="preserve">Capítol</t>
  </si>
  <si>
    <t xml:space="preserve">AIGUA</t>
  </si>
  <si>
    <t xml:space="preserve">IFB006</t>
  </si>
  <si>
    <t xml:space="preserve">Partida</t>
  </si>
  <si>
    <t xml:space="preserve">m</t>
  </si>
  <si>
    <t xml:space="preserve">CANONADA PARA ALIMENTACIÓ D'AIGUA POTABLE, SOTERRADA. 32mm</t>
  </si>
  <si>
    <t xml:space="preserve">CANONADA PER A ALIMENTACIÓ D'AIGUA POTABLE, SOTERRADA, FORMADA PER TUB DE POLIETILÈ PE 100, DE COLOR NEGRE AMB BANDES DE COLOR BLAU, DE 32 MM DE DIÀMETRE EXTERIOR I 3 MM DE GRUIX, SDR11, PN=16 ATM, COL·LOCAT SOBRE LLIT DE SORRA DE 10 CM DE GRUIX, EN EL FONS DE LA RASA PRÈVIAMENT EXCAVADA, DEGUDAMENT COMPACTADA I ANIVELLADA AMB PICÓ VIBRANT DE GUIAT MANUAL, REBLERT LATERAL COMPACTANT FINS ALS RONYONS I POSTERIOR REBLERT AMB LA MATEIXA SORRA FINS A 10 CM PER SOBRE DE LA GENERATRIU SUPERIOR DE LA CANONADA. INCLÚS ACCESSORIS I PECES ESPECIALS.</t>
  </si>
  <si>
    <t xml:space="preserve">Uts.</t>
  </si>
  <si>
    <t xml:space="preserve">Llargada</t>
  </si>
  <si>
    <t xml:space="preserve">Amplada</t>
  </si>
  <si>
    <t xml:space="preserve">Alçada</t>
  </si>
  <si>
    <t xml:space="preserve">Parcial</t>
  </si>
  <si>
    <t xml:space="preserve">Subtotal</t>
  </si>
  <si>
    <t xml:space="preserve">Escomesa</t>
  </si>
  <si>
    <t xml:space="preserve">Distribució interior</t>
  </si>
  <si>
    <t xml:space="preserve">IFB006b</t>
  </si>
  <si>
    <t xml:space="preserve">Partida</t>
  </si>
  <si>
    <t xml:space="preserve">m</t>
  </si>
  <si>
    <t xml:space="preserve">CANONADA PARA ALIMENTACIÓ D'AIGUA POTABLE, SOTERRADA. 20mm</t>
  </si>
  <si>
    <t xml:space="preserve">CANONADA PER A ALIMENTACIÓ D'AIGUA POTABLE, SOTERRADA, FORMADA PER TUB DE POLIETILÈ PE 100, DE COLOR NEGRE AMB BANDES DE COLOR BLAU, DE 20 MM DE DIÀMETRE EXTERIOR I 2 MM DE GRUIX, SDR11, PN=16 ATM, COL·LOCAT SOBRE LLIT DE SORRA DE 10 CM DE GRUIX, EN EL FONS DE LA RASA PRÈVIAMENT EXCAVADA, DEGUDAMENT COMPACTADA I ANIVELLADA AMB PICÓ VIBRANT DE GUIAT MANUAL, REBLERT LATERAL COMPACTANT FINS ALS RONYONS I POSTERIOR REBLERT AMB LA MATEIXA SORRA FINS A 10 CM PER SOBRE DE LA GENERATRIU SUPERIOR DE LA CANONADA. INCLÚS ACCESSORIS I PECES ESPECIALS.</t>
  </si>
  <si>
    <t xml:space="preserve">Uts.</t>
  </si>
  <si>
    <t xml:space="preserve">Llargada</t>
  </si>
  <si>
    <t xml:space="preserve">Amplada</t>
  </si>
  <si>
    <t xml:space="preserve">Alçada</t>
  </si>
  <si>
    <t xml:space="preserve">Parcial</t>
  </si>
  <si>
    <t xml:space="preserve">Subtotal</t>
  </si>
  <si>
    <t xml:space="preserve">Derivacions aixetes</t>
  </si>
  <si>
    <t xml:space="preserve">0</t>
  </si>
  <si>
    <t xml:space="preserve">U24111</t>
  </si>
  <si>
    <t xml:space="preserve">Partida</t>
  </si>
  <si>
    <t xml:space="preserve">M3</t>
  </si>
  <si>
    <t xml:space="preserve">EXCAVACIO DE RASA</t>
  </si>
  <si>
    <t xml:space="preserve">EXCAVACIO DE RASA, AMB MITJANS MECANICS O MANUAKS, FINS A 2.5 M DE FONDARIA, EN QUALSEVOL TIPUS DE TERRENY (EXCEPTE ROCA), MESURAT SOBRE PERFIL. CARREGA I TRANSPORT AL INTERIOR DE L'OBRA AMB DÚMPER I A L'ABOCADOR AMB CAMIÓ.</t>
  </si>
  <si>
    <t xml:space="preserve">Uts.</t>
  </si>
  <si>
    <t xml:space="preserve">Llargada</t>
  </si>
  <si>
    <t xml:space="preserve">Amplada</t>
  </si>
  <si>
    <t xml:space="preserve">Alçada</t>
  </si>
  <si>
    <t xml:space="preserve">Parcial</t>
  </si>
  <si>
    <t xml:space="preserve">Subtotal</t>
  </si>
  <si>
    <t xml:space="preserve">Total tub 32mm interior</t>
  </si>
  <si>
    <t xml:space="preserve">0</t>
  </si>
  <si>
    <t xml:space="preserve">U24601</t>
  </si>
  <si>
    <t xml:space="preserve">Partida</t>
  </si>
  <si>
    <t xml:space="preserve">M3</t>
  </si>
  <si>
    <t xml:space="preserve">REBLIMENT I PICONATGE DE RASA</t>
  </si>
  <si>
    <t xml:space="preserve">REBLIMENT I PICONATGE DE RASA AMB TERRES PROCEDENTS DE L'EXCAVACIO, EN TONGADES DE 25 CM I COMPACTACIO AL 95% DEL P.M.</t>
  </si>
  <si>
    <t xml:space="preserve">Uts.</t>
  </si>
  <si>
    <t xml:space="preserve">Llargada</t>
  </si>
  <si>
    <t xml:space="preserve">Amplada</t>
  </si>
  <si>
    <t xml:space="preserve">Alçada</t>
  </si>
  <si>
    <t xml:space="preserve">Parcial</t>
  </si>
  <si>
    <t xml:space="preserve">Subtotal</t>
  </si>
  <si>
    <t xml:space="preserve">Total excavació</t>
  </si>
  <si>
    <t xml:space="preserve">U32500</t>
  </si>
  <si>
    <t xml:space="preserve">Partida</t>
  </si>
  <si>
    <t xml:space="preserve">UT</t>
  </si>
  <si>
    <t xml:space="preserve">PERICO PER REGISTRE 40*40 Tapa C-250</t>
  </si>
  <si>
    <t xml:space="preserve">PERICO PER REGISTRE DE CREUAMENT DE CALÇADA DE 40X40X60 CM INCLOS EL MARC, LA TAPA DE FOSA I ACCESORIS</t>
  </si>
  <si>
    <t xml:space="preserve">Uts.</t>
  </si>
  <si>
    <t xml:space="preserve">Llargada</t>
  </si>
  <si>
    <t xml:space="preserve">Amplada</t>
  </si>
  <si>
    <t xml:space="preserve">Alçada</t>
  </si>
  <si>
    <t xml:space="preserve">Parcial</t>
  </si>
  <si>
    <t xml:space="preserve">Subtotal</t>
  </si>
  <si>
    <t xml:space="preserve">Previssió arquetes per clau de pas</t>
  </si>
  <si>
    <t xml:space="preserve">IFW010</t>
  </si>
  <si>
    <t xml:space="preserve">Partida</t>
  </si>
  <si>
    <t xml:space="preserve">U</t>
  </si>
  <si>
    <t xml:space="preserve">VÀLVULA DE TALL.</t>
  </si>
  <si>
    <t xml:space="preserve">VÀLVULA D'ESFERA DE LLAUTÓ NIQUELAT PER ROSCAR DE 1 1/4".</t>
  </si>
  <si>
    <t xml:space="preserve">Uts.</t>
  </si>
  <si>
    <t xml:space="preserve">Llargada</t>
  </si>
  <si>
    <t xml:space="preserve">Amplada</t>
  </si>
  <si>
    <t xml:space="preserve">Alçada</t>
  </si>
  <si>
    <t xml:space="preserve">Parcial</t>
  </si>
  <si>
    <t xml:space="preserve">Subtotal</t>
  </si>
  <si>
    <t xml:space="preserve">Total instal·lació</t>
  </si>
  <si>
    <t xml:space="preserve">IFW020</t>
  </si>
  <si>
    <t xml:space="preserve">Partida</t>
  </si>
  <si>
    <t xml:space="preserve">U</t>
  </si>
  <si>
    <t xml:space="preserve">FILTRE RETENIDOR DE RESIDUS.</t>
  </si>
  <si>
    <t xml:space="preserve">FILTRE RETENIDOR DE RESIDUS DE LLAUTÓ, AMB TAMÍS D'ACER INOXIDABLE AMB PERFORACIONS DE 0,5 MM DE DIÀMETRE, AMB ROSCA DE 1 1/4", PER A UNA PRESSIÓ MÀXIMA DE TREBALL DE 16 BAR I UNA TEMPERATURA MÀXIMA DE 110°C.</t>
  </si>
  <si>
    <t xml:space="preserve">Uts.</t>
  </si>
  <si>
    <t xml:space="preserve">Llargada</t>
  </si>
  <si>
    <t xml:space="preserve">Amplada</t>
  </si>
  <si>
    <t xml:space="preserve">Alçada</t>
  </si>
  <si>
    <t xml:space="preserve">Parcial</t>
  </si>
  <si>
    <t xml:space="preserve">Subtotal</t>
  </si>
  <si>
    <t xml:space="preserve">Sortida Comptador</t>
  </si>
  <si>
    <t xml:space="preserve">IFW030</t>
  </si>
  <si>
    <t xml:space="preserve">Partida</t>
  </si>
  <si>
    <t xml:space="preserve">U</t>
  </si>
  <si>
    <t xml:space="preserve">AIXETA.</t>
  </si>
  <si>
    <t xml:space="preserve">AIXETA DE LLAUTÓ CROMAT PER A JARDÍ O TERRASSA, AMB RÀCORD DE CONNEXIÓ A MÀNEGA, DE 3/4" DE DIÀMETRE.</t>
  </si>
  <si>
    <t xml:space="preserve">Uts.</t>
  </si>
  <si>
    <t xml:space="preserve">Llargada</t>
  </si>
  <si>
    <t xml:space="preserve">Amplada</t>
  </si>
  <si>
    <t xml:space="preserve">Alçada</t>
  </si>
  <si>
    <t xml:space="preserve">Parcial</t>
  </si>
  <si>
    <t xml:space="preserve">Subtotal</t>
  </si>
  <si>
    <t xml:space="preserve">Boques de reg</t>
  </si>
  <si>
    <t xml:space="preserve">IFW060</t>
  </si>
  <si>
    <t xml:space="preserve">Partida</t>
  </si>
  <si>
    <t xml:space="preserve">U</t>
  </si>
  <si>
    <t xml:space="preserve">VÀLVULA LIMITADORA DE PRESSIÓ.</t>
  </si>
  <si>
    <t xml:space="preserve">VÀLVULA LIMITADORA DE PRESSIÓ DE LLAUTÓ, DE 1 1/4" DN 32 MM DE DIÀMETRE, PRESSIÓ MÀXIMA D'ENTRADA DE 15 BAR I PRESSIÓ DE SORTIDA REGULABLE ENTRE 0,5 I 4 BAR. FINS I TOT MANÒMETRE, ELEMENTS DE MUNTATGE I ALTRES ACCESSORIS NECESSARIS PER AL SEU CORRECTE FUNCIONAMENT.</t>
  </si>
  <si>
    <t xml:space="preserve">Uts.</t>
  </si>
  <si>
    <t xml:space="preserve">Llargada</t>
  </si>
  <si>
    <t xml:space="preserve">Amplada</t>
  </si>
  <si>
    <t xml:space="preserve">Alçada</t>
  </si>
  <si>
    <t xml:space="preserve">Parcial</t>
  </si>
  <si>
    <t xml:space="preserve">Subtotal</t>
  </si>
  <si>
    <t xml:space="preserve">Previssió entrada</t>
  </si>
  <si>
    <t xml:space="preserve">8781CASS</t>
  </si>
  <si>
    <t xml:space="preserve">Partida</t>
  </si>
  <si>
    <t xml:space="preserve">UT</t>
  </si>
  <si>
    <t xml:space="preserve">INSTAL·LACIÓ DEL COMPTADOR</t>
  </si>
  <si>
    <t xml:space="preserve">INSTAL·LACIÓ I PREPARACIÓ DE L'ARMARI I ALTRES ELEMENTS AUXILIARS PER LA COMPANYIA SUBMINISTRADORA.</t>
  </si>
  <si>
    <t xml:space="preserve">Uts.</t>
  </si>
  <si>
    <t xml:space="preserve">Llargada</t>
  </si>
  <si>
    <t xml:space="preserve">Amplada</t>
  </si>
  <si>
    <t xml:space="preserve">Alçada</t>
  </si>
  <si>
    <t xml:space="preserve">Parcial</t>
  </si>
  <si>
    <t xml:space="preserve">Subtotal</t>
  </si>
  <si>
    <t xml:space="preserve">AIG</t>
  </si>
  <si>
    <t xml:space="preserve">SANJ</t>
  </si>
  <si>
    <t xml:space="preserve">Capítol</t>
  </si>
  <si>
    <t xml:space="preserve">SANEJAMENT</t>
  </si>
  <si>
    <t xml:space="preserve">ASI020</t>
  </si>
  <si>
    <t xml:space="preserve">Partida</t>
  </si>
  <si>
    <t xml:space="preserve">U</t>
  </si>
  <si>
    <t xml:space="preserve">BONERA SIFÒNICA.</t>
  </si>
  <si>
    <t xml:space="preserve">INSTAL·LACIÓ DE BONERA SIFÒNICA DE PVC, DE SORTIDA VERTICAL DE 90 MM DE DIÀMETRE, AMB REIXETA DE PVC DE 250X250 MM, PER RECOLLIDA D'AIGÜES PLUVIALS O DE LOCALS HUMITS. INCLÚS ACCESSORIS DE MUNTATGE, PECES ESPECIALS I ELEMENTS DE SUBJECCIÓ.</t>
  </si>
  <si>
    <t xml:space="preserve">Uts.</t>
  </si>
  <si>
    <t xml:space="preserve">Llargada</t>
  </si>
  <si>
    <t xml:space="preserve">Amplada</t>
  </si>
  <si>
    <t xml:space="preserve">Alçada</t>
  </si>
  <si>
    <t xml:space="preserve">Parcial</t>
  </si>
  <si>
    <t xml:space="preserve">Subtotal</t>
  </si>
  <si>
    <t xml:space="preserve">Total àmbit obra</t>
  </si>
  <si>
    <t xml:space="preserve">ASC010</t>
  </si>
  <si>
    <t xml:space="preserve">Partida</t>
  </si>
  <si>
    <t xml:space="preserve">m</t>
  </si>
  <si>
    <t xml:space="preserve">COL·LECTOR SOTERRAT 110mm</t>
  </si>
  <si>
    <t xml:space="preserve">COL·LECTOR SOTERRAT DE XARXA HORITZONTAL DE SANEJAMENT, AMB PERICONS, AMB UNA PENDENT MÍNIMA DEL 2%, PER A L'EVACUACIÓ D'AIGÜES RESIDUALS I/O PLUVIALS, FORMAT PER TUB DE PVC LLIS, SÈRIE SN-4, RIGIDESA ANULAR NOMINAL 4 KN/M², DE 110 MM DE DIÀMETRE EXTERIOR, ENGANXAT MITJANÇANT ADHESIU, COL·LOCAT SOBRE LLIT DE SORRA DE 10 CM D'ESPESSOR, DEGUDAMENT COMPACTADA I ANIVELLADA AMB PICÓ VIBRANT DE GUIAT MANUAL, REBLERT LATERAL COMPACTANT FINS ALS RONYONS I POSTERIOR REBLERT AMB LA MATEIXA SORRA FINS A 30 CM PER SOBRE DE LA GENERATRIU SUPERIOR DE LA CANONADA. INCLÚS LÍQUID NETEJADOR I ADHESIU PER A TUBS I ACCESSORIS DE PVC.</t>
  </si>
  <si>
    <t xml:space="preserve">Uts.</t>
  </si>
  <si>
    <t xml:space="preserve">Llargada</t>
  </si>
  <si>
    <t xml:space="preserve">Amplada</t>
  </si>
  <si>
    <t xml:space="preserve">Alçada</t>
  </si>
  <si>
    <t xml:space="preserve">Parcial</t>
  </si>
  <si>
    <t xml:space="preserve">Subtotal</t>
  </si>
  <si>
    <t xml:space="preserve">Pluvials nord patis</t>
  </si>
  <si>
    <t xml:space="preserve">0</t>
  </si>
  <si>
    <t xml:space="preserve">0</t>
  </si>
  <si>
    <t xml:space="preserve">Pluvials sud patis</t>
  </si>
  <si>
    <t xml:space="preserve">0</t>
  </si>
  <si>
    <t xml:space="preserve">Fecals </t>
  </si>
  <si>
    <t xml:space="preserve">0</t>
  </si>
  <si>
    <t xml:space="preserve">Altres (10%)</t>
  </si>
  <si>
    <t xml:space="preserve">0</t>
  </si>
  <si>
    <t xml:space="preserve">ASC010b</t>
  </si>
  <si>
    <t xml:space="preserve">Partida</t>
  </si>
  <si>
    <t xml:space="preserve">m</t>
  </si>
  <si>
    <t xml:space="preserve">COL·LECTOR SOTERRAT 160mm</t>
  </si>
  <si>
    <t xml:space="preserve">COL·LECTOR SOTERRAT DE XARXA HORITZONTAL DE SANEJAMENT, AMB PERICONS, AMB UNA PENDENT MÍNIMA DEL 2%, PER A L'EVACUACIÓ D'AIGÜES RESIDUALS I/O PLUVIALS, FORMAT PER TUB DE PVC LLIS, SÈRIE SN-4, RIGIDESA ANULAR NOMINAL 4 KN/M², DE 160 MM DE DIÀMETRE EXTERIOR, ENGANXAT MITJANÇANT ADHESIU, COL·LOCAT SOBRE LLIT DE SORRA DE 10 CM D'ESPESSOR, DEGUDAMENT COMPACTADA I ANIVELLADA AMB PICÓ VIBRANT DE GUIAT MANUAL, REBLERT LATERAL COMPACTANT FINS ALS RONYONS I POSTERIOR REBLERT AMB LA MATEIXA SORRA FINS A 30 CM PER SOBRE DE LA GENERATRIU SUPERIOR DE LA CANONADA. INCLÚS LÍQUID NETEJADOR I ADHESIU PER A TUBS I ACCESSORIS DE PVC.</t>
  </si>
  <si>
    <t xml:space="preserve">Uts.</t>
  </si>
  <si>
    <t xml:space="preserve">Llargada</t>
  </si>
  <si>
    <t xml:space="preserve">Amplada</t>
  </si>
  <si>
    <t xml:space="preserve">Alçada</t>
  </si>
  <si>
    <t xml:space="preserve">Parcial</t>
  </si>
  <si>
    <t xml:space="preserve">Subtotal</t>
  </si>
  <si>
    <t xml:space="preserve">Pluvials</t>
  </si>
  <si>
    <t xml:space="preserve">0</t>
  </si>
  <si>
    <t xml:space="preserve">Fecals</t>
  </si>
  <si>
    <t xml:space="preserve">0</t>
  </si>
  <si>
    <t xml:space="preserve">Altres (10%)</t>
  </si>
  <si>
    <t xml:space="preserve">0</t>
  </si>
  <si>
    <t xml:space="preserve">U24111</t>
  </si>
  <si>
    <t xml:space="preserve">Partida</t>
  </si>
  <si>
    <t xml:space="preserve">M3</t>
  </si>
  <si>
    <t xml:space="preserve">EXCAVACIO DE RASA</t>
  </si>
  <si>
    <t xml:space="preserve">EXCAVACIO DE RASA, AMB MITJANS MECANICS O MANUAKS, FINS A 2.5 M DE FONDARIA, EN QUALSEVOL TIPUS DE TERRENY (EXCEPTE ROCA), MESURAT SOBRE PERFIL. CARREGA I TRANSPORT AL INTERIOR DE L'OBRA AMB DÚMPER I A L'ABOCADOR AMB CAMIÓ.</t>
  </si>
  <si>
    <t xml:space="preserve">Uts.</t>
  </si>
  <si>
    <t xml:space="preserve">Llargada</t>
  </si>
  <si>
    <t xml:space="preserve">Amplada</t>
  </si>
  <si>
    <t xml:space="preserve">Alçada</t>
  </si>
  <si>
    <t xml:space="preserve">Parcial</t>
  </si>
  <si>
    <t xml:space="preserve">Subtotal</t>
  </si>
  <si>
    <t xml:space="preserve">Total tub 110mm</t>
  </si>
  <si>
    <t xml:space="preserve">Total tub 160mm</t>
  </si>
  <si>
    <t xml:space="preserve">U24601</t>
  </si>
  <si>
    <t xml:space="preserve">Partida</t>
  </si>
  <si>
    <t xml:space="preserve">M3</t>
  </si>
  <si>
    <t xml:space="preserve">REBLIMENT I PICONATGE DE RASA</t>
  </si>
  <si>
    <t xml:space="preserve">REBLIMENT I PICONATGE DE RASA AMB TERRES PROCEDENTS DE L'EXCAVACIO, EN TONGADES DE 25 CM I COMPACTACIO AL 95% DEL P.M.</t>
  </si>
  <si>
    <t xml:space="preserve">Uts.</t>
  </si>
  <si>
    <t xml:space="preserve">Llargada</t>
  </si>
  <si>
    <t xml:space="preserve">Amplada</t>
  </si>
  <si>
    <t xml:space="preserve">Alçada</t>
  </si>
  <si>
    <t xml:space="preserve">Parcial</t>
  </si>
  <si>
    <t xml:space="preserve">Subtotal</t>
  </si>
  <si>
    <t xml:space="preserve">Total excavació</t>
  </si>
  <si>
    <t xml:space="preserve">U24503</t>
  </si>
  <si>
    <t xml:space="preserve">Partida</t>
  </si>
  <si>
    <t xml:space="preserve">M3</t>
  </si>
  <si>
    <t xml:space="preserve">TERRAPLENADA I PICONATGE D'ESPLANADA</t>
  </si>
  <si>
    <t xml:space="preserve">TERRAPLENADA I PICONATGE D'ESPLANADA, AMB TERRES PROCEDENTS DE LA PROPIA OBRA, EN TONGADES DE 25 CM, INCLOS LA CARREGA I TRANSPORT INTERIOR.</t>
  </si>
  <si>
    <t xml:space="preserve">Uts.</t>
  </si>
  <si>
    <t xml:space="preserve">Llargada</t>
  </si>
  <si>
    <t xml:space="preserve">Amplada</t>
  </si>
  <si>
    <t xml:space="preserve">Alçada</t>
  </si>
  <si>
    <t xml:space="preserve">Parcial</t>
  </si>
  <si>
    <t xml:space="preserve">Subtotal</t>
  </si>
  <si>
    <t xml:space="preserve">Terres sobrants rasa</t>
  </si>
  <si>
    <t xml:space="preserve">0</t>
  </si>
  <si>
    <t xml:space="preserve">U29290</t>
  </si>
  <si>
    <t xml:space="preserve">Partida</t>
  </si>
  <si>
    <t xml:space="preserve">UT</t>
  </si>
  <si>
    <t xml:space="preserve">PERICO DE PAS PER SANEJAMENT</t>
  </si>
  <si>
    <t xml:space="preserve">PERICO DE PAS AMB SORREJADOR DE 40x40x40CM INT. SOBRE LLIT DE FORMIGÓ HM-20 DE 15 CM DE GRUIX, AMB PARET DE MAÓ CALAT, ARREBOSSADA I LLISCADA INTERIORMENT, INCLÒS EL MOVIMENT DE TERRES, MARC I TAPA DE FOSA.</t>
  </si>
  <si>
    <t xml:space="preserve">Uts.</t>
  </si>
  <si>
    <t xml:space="preserve">Llargada</t>
  </si>
  <si>
    <t xml:space="preserve">Amplada</t>
  </si>
  <si>
    <t xml:space="preserve">Alçada</t>
  </si>
  <si>
    <t xml:space="preserve">Parcial</t>
  </si>
  <si>
    <t xml:space="preserve">Subtotal</t>
  </si>
  <si>
    <t xml:space="preserve">Total pericons àmbit obra</t>
  </si>
  <si>
    <t xml:space="preserve">U29002b</t>
  </si>
  <si>
    <t xml:space="preserve">Partida</t>
  </si>
  <si>
    <t xml:space="preserve">UT</t>
  </si>
  <si>
    <t xml:space="preserve">TUB DE POLIETILÈ CORRUGAT D.25 CM</t>
  </si>
  <si>
    <t xml:space="preserve">SUBMINISTRE I COL·LOCACIÓ DE TUB DE POLIETILÈ CORRUGAT DE DOBLE PARET ESTRUCTURADA DE 25 CM DE DIAMETRE INTERIOR EN CONNEXIO DE FINQUES A LA XARXA GENERAL DE CLAVEGUERAM. INCLOU P.P. RASES, TALLS PAVIMENTS, REBLIMENT DE RASES, TUBS I REPOSICIÓ DE PAVIMENTS (FORMIGÓ, ASFALT, PANOT, ETC.).</t>
  </si>
  <si>
    <t xml:space="preserve">Uts.</t>
  </si>
  <si>
    <t xml:space="preserve">Llargada</t>
  </si>
  <si>
    <t xml:space="preserve">Amplada</t>
  </si>
  <si>
    <t xml:space="preserve">Alçada</t>
  </si>
  <si>
    <t xml:space="preserve">Parcial</t>
  </si>
  <si>
    <t xml:space="preserve">Subtotal</t>
  </si>
  <si>
    <t xml:space="preserve">Connexió a xarxa clavegueram</t>
  </si>
  <si>
    <t xml:space="preserve">SANJ</t>
  </si>
  <si>
    <t xml:space="preserve">TELE</t>
  </si>
  <si>
    <t xml:space="preserve">Capítol</t>
  </si>
  <si>
    <t xml:space="preserve">TELECOMUNICACIONS</t>
  </si>
  <si>
    <t xml:space="preserve">U32500</t>
  </si>
  <si>
    <t xml:space="preserve">Partida</t>
  </si>
  <si>
    <t xml:space="preserve">UT</t>
  </si>
  <si>
    <t xml:space="preserve">PERICO PER REGISTRE 40*40 Tapa C-250</t>
  </si>
  <si>
    <t xml:space="preserve">PERICO PER REGISTRE DE CREUAMENT DE CALÇADA DE 40X40X60 CM INCLOS EL MARC, LA TAPA DE FOSA I ACCESORIS</t>
  </si>
  <si>
    <t xml:space="preserve">Uts.</t>
  </si>
  <si>
    <t xml:space="preserve">Llargada</t>
  </si>
  <si>
    <t xml:space="preserve">Amplada</t>
  </si>
  <si>
    <t xml:space="preserve">Alçada</t>
  </si>
  <si>
    <t xml:space="preserve">Parcial</t>
  </si>
  <si>
    <t xml:space="preserve">Subtotal</t>
  </si>
  <si>
    <t xml:space="preserve">Perico arribada tubular</t>
  </si>
  <si>
    <t xml:space="preserve">U32307</t>
  </si>
  <si>
    <t xml:space="preserve">Partida</t>
  </si>
  <si>
    <t xml:space="preserve">ML</t>
  </si>
  <si>
    <t xml:space="preserve">CANALITZACIO AMB DOS TUBS PVC 90mm</t>
  </si>
  <si>
    <t xml:space="preserve">CANALITZACIÓ AMB DOS TUBS PVC CORRUGAT DIAM. 90 MM. S'INCLOU RASA DE 40X60 CM, TUBS ENVOLTAT DE SORRA AMB UN GRUIX DE 20 CM, REBLIMENT I PICONATGE FINS AL 95% DEL PROCTOR MODIFICAT, CARREGA I TRANSPORT DE TERRES SOBRANTS A L'ABOCADOR. S'INCLOU SUBMINISTRE I COL.LOCACIÓ DE CINTA DE SENYALITZACIÓ I PLAQUES DE PE DE PROTECCIÓ, PREVI AL REBLIMENT DE LA RASA.</t>
  </si>
  <si>
    <t xml:space="preserve">Uts.</t>
  </si>
  <si>
    <t xml:space="preserve">Llargada</t>
  </si>
  <si>
    <t xml:space="preserve">Amplada</t>
  </si>
  <si>
    <t xml:space="preserve">Alçada</t>
  </si>
  <si>
    <t xml:space="preserve">Parcial</t>
  </si>
  <si>
    <t xml:space="preserve">Subtotal</t>
  </si>
  <si>
    <t xml:space="preserve">Canalització fins a mòdul prefabricat</t>
  </si>
  <si>
    <t xml:space="preserve">TELE</t>
  </si>
  <si>
    <t xml:space="preserve">VARINST</t>
  </si>
  <si>
    <t xml:space="preserve">Capítol</t>
  </si>
  <si>
    <t xml:space="preserve">VARIS INSTAL·LACIONS</t>
  </si>
  <si>
    <t xml:space="preserve">U29440b</t>
  </si>
  <si>
    <t xml:space="preserve">Partida</t>
  </si>
  <si>
    <t xml:space="preserve">ML</t>
  </si>
  <si>
    <t xml:space="preserve">CANALITZACIÓ EN CALÇADA AMB 6 TUBS DE PVC</t>
  </si>
  <si>
    <t xml:space="preserve">CANALITZACIÓ EN CALÇADA AMB 6 TUBS DE PVC DE D. 16 CM. S'INCLOU RASA DE 50X120, RECOBERTA AMB FORMIGÓ HM-20 AMB UN GRUIX DE 55 CM, REBLIMENT I PICONATGE AL 95% P.M., CARREGA I TRANSPORT DE LES TERRES SOBRANTS A L'ABOCADOR I EL PAGAMENT DEL CÀNON D'ABOCAMENT.</t>
  </si>
  <si>
    <t xml:space="preserve">Uts.</t>
  </si>
  <si>
    <t xml:space="preserve">Llargada</t>
  </si>
  <si>
    <t xml:space="preserve">Amplada</t>
  </si>
  <si>
    <t xml:space="preserve">Alçada</t>
  </si>
  <si>
    <t xml:space="preserve">Parcial</t>
  </si>
  <si>
    <t xml:space="preserve">Subtotal</t>
  </si>
  <si>
    <t xml:space="preserve">Pas de serveis</t>
  </si>
  <si>
    <t xml:space="preserve">U32310</t>
  </si>
  <si>
    <t xml:space="preserve">Partida</t>
  </si>
  <si>
    <t xml:space="preserve">ML</t>
  </si>
  <si>
    <t xml:space="preserve">CANALITZACIÓ AMB QUATRE TUBS PVC CORRUGATS DIAM. 90 MM.</t>
  </si>
  <si>
    <t xml:space="preserve">CANALITZACIÓ AMB QUATRE TUBS PVC CORRUGATS DIAM. 90 MM. S'INCLOU RASA DE 40X60 CM, TUB ENVOLTAT DE SORRA AMB UN GRUIX DE 20 CM, REBLIMENT I PICONATGE FINS AL 95% DEL PROCTOR MODIFICAT, CARREGA I TRANSPORT DE TERRES SOBRANTS A L'ABOCADOR.</t>
  </si>
  <si>
    <t xml:space="preserve">Uts.</t>
  </si>
  <si>
    <t xml:space="preserve">Llargada</t>
  </si>
  <si>
    <t xml:space="preserve">Amplada</t>
  </si>
  <si>
    <t xml:space="preserve">Alçada</t>
  </si>
  <si>
    <t xml:space="preserve">Parcial</t>
  </si>
  <si>
    <t xml:space="preserve">Subtotal</t>
  </si>
  <si>
    <t xml:space="preserve">De creuament de calçada a façana gatera</t>
  </si>
  <si>
    <t xml:space="preserve">U32500</t>
  </si>
  <si>
    <t xml:space="preserve">Partida</t>
  </si>
  <si>
    <t xml:space="preserve">UT</t>
  </si>
  <si>
    <t xml:space="preserve">PERICO PER REGISTRE 40*40 Tapa C-250</t>
  </si>
  <si>
    <t xml:space="preserve">PERICO PER REGISTRE DE CREUAMENT DE CALÇADA DE 40X40X60 CM INCLOS EL MARC, LA TAPA DE FOSA I ACCESORIS</t>
  </si>
  <si>
    <t xml:space="preserve">Uts.</t>
  </si>
  <si>
    <t xml:space="preserve">Llargada</t>
  </si>
  <si>
    <t xml:space="preserve">Amplada</t>
  </si>
  <si>
    <t xml:space="preserve">Alçada</t>
  </si>
  <si>
    <t xml:space="preserve">Parcial</t>
  </si>
  <si>
    <t xml:space="preserve">Subtotal</t>
  </si>
  <si>
    <t xml:space="preserve">Pericons Creuament Calçada i Escomeses</t>
  </si>
  <si>
    <t xml:space="preserve">Previssió Altres</t>
  </si>
  <si>
    <t xml:space="preserve">VARINST</t>
  </si>
  <si>
    <t xml:space="preserve">INST</t>
  </si>
  <si>
    <t xml:space="preserve">TANQ</t>
  </si>
  <si>
    <t xml:space="preserve">Capítol</t>
  </si>
  <si>
    <t xml:space="preserve">FUSTERIES, TANQUES</t>
  </si>
  <si>
    <t xml:space="preserve">UVT030</t>
  </si>
  <si>
    <t xml:space="preserve">Partida</t>
  </si>
  <si>
    <t xml:space="preserve">m</t>
  </si>
  <si>
    <t xml:space="preserve">CLOS DE PARCEL·LA FORMAT PER PANELLS DE MALLA ELECTROSOLDADA</t>
  </si>
  <si>
    <t xml:space="preserve">CLOS DE PARCEL·LA FORMAT PER PANELLS DE MALLA ELECTROSOLDADA AMB PLECS DE REFORÇ, DE 200X50 MM DE PAS DE MALLA, REDUÏT A 50X50 MM EN LES ZONES DE PLEC, I 5 MM DE DIÀMETRE, DE 2,50X2,00 M, ACABAT GALVANITZAT I PLASTIFICAT EN COLOR GRIS RAL 7016 I PALS DE PERFIL BUIT DE SECCIÓ CIRCULAR, DE DIAM. 80MM, FIXATS AMB CARGOLS SOBRE MURS/LLOSES/RIOSTA DE FÀBRICA FORMIGÓ. INCLÚS BASES PER AL CARAGOLAT DIRECTE DE PALS I ACCESSORIS PER A LA FIXACIÓ DELS PANELLS DE MALLA ELECTROSOLDADA MODULAR ALS PILARS METÀL·LICS.</t>
  </si>
  <si>
    <t xml:space="preserve">Uts.</t>
  </si>
  <si>
    <t xml:space="preserve">Llargada</t>
  </si>
  <si>
    <t xml:space="preserve">Amplada</t>
  </si>
  <si>
    <t xml:space="preserve">Alçada</t>
  </si>
  <si>
    <t xml:space="preserve">Parcial</t>
  </si>
  <si>
    <t xml:space="preserve">Subtotal</t>
  </si>
  <si>
    <t xml:space="preserve">Total tanques àmbit gatera</t>
  </si>
  <si>
    <t xml:space="preserve">0</t>
  </si>
  <si>
    <t xml:space="preserve">FZP040</t>
  </si>
  <si>
    <t xml:space="preserve">Partida</t>
  </si>
  <si>
    <t xml:space="preserve">m²</t>
  </si>
  <si>
    <t xml:space="preserve">XARXA ANTIOCELLS FORMADA PER MALLA DE POLIETILÈ DE 19X19 MM, SUBJECTA AMB CABLE D'ACER GALVANITZAT I ANCORADA AL SUPORT, PER A PROTEGIR ELS BUITS DE MÉS DE 25 M², EVITANT L'ACCÉS DE PARDALS A L'EDIFICI.</t>
  </si>
  <si>
    <t xml:space="preserve">XARXA ANTIOCELLS FORMADA PER MALLA DE POLIETILÈ DE 19X19 MM, ESTABLE DAVANT ELS RAIGS UV, PER A PROTEGIR ELS BUITS DE MÉS DE 25 M², EVITANT L'ACCÉS DE PARDALS A L'EDIFICI. INCLÚS CABLE D'ACER GALVANITZAT PER A LA SUBJECCIÓ DE LA XARXA, ACCESSORIS I MATERIAL AUXILIAR PER A LA FIXACIÓ I ANCORATGE DE LA XARXA. TOTALMENT MUNTADA I PROVADA, SENSE INCLOURE LA REPERCUSSIÓ DE LA BASTIDA NI AFECTAR A L'ESTABILITAT DE L'ELEMENT AL QUE S'ANCORA.</t>
  </si>
  <si>
    <t xml:space="preserve">Uts.</t>
  </si>
  <si>
    <t xml:space="preserve">Llargada</t>
  </si>
  <si>
    <t xml:space="preserve">Amplada</t>
  </si>
  <si>
    <t xml:space="preserve">Alçada</t>
  </si>
  <si>
    <t xml:space="preserve">Parcial</t>
  </si>
  <si>
    <t xml:space="preserve">Subtotal</t>
  </si>
  <si>
    <t xml:space="preserve">Sostre patis exteriors mòduls 1-4</t>
  </si>
  <si>
    <t xml:space="preserve">Previssió altres (tapar sobre portes i possibles forats entre parets de blocs)</t>
  </si>
  <si>
    <t xml:space="preserve">LPA010</t>
  </si>
  <si>
    <t xml:space="preserve">Partida</t>
  </si>
  <si>
    <t xml:space="preserve">U</t>
  </si>
  <si>
    <t xml:space="preserve">PORTA ABATIBLE, D'ACER GALVANITZAT.</t>
  </si>
  <si>
    <t xml:space="preserve">PORTA ABATIBLE D'UNA FULLA DE 38 MM D'ESPESSOR, 800X2045 MM DE LLUM I ALTURA DE PAS, ACABAT GALVANITZAT FORMADA PER DUES XAPES D'ACER GALVANITZAT DE 0,5 MM D'ESPESSOR AMB REIXETES DE VENTILACIÓ ENCUNYADES EN LA PART SUPERIOR I INFERIOR, PLEGADES, ACOBLADES I MUNTADES, AMB CAMBRA INTERMÈDIA REPLENA DE POLIURETÀ, SOBRE MARC D'ACER GALVANITZAT DE 1 MM D'ESPESSOR, AMB BASTIMENT DE BASE. INCLÚS CARGOLS AUTOROSCANTS PER A LA FIXACIÓ DEL BASTIMENT DE BASE AL PARAMENT I CARGOLS AUTOROSCANTS PER A LA FIXACIÓ DEL BASTIMENT AL BASTIMENT DE BASE.</t>
  </si>
  <si>
    <t xml:space="preserve">Uts.</t>
  </si>
  <si>
    <t xml:space="preserve">Llargada</t>
  </si>
  <si>
    <t xml:space="preserve">Amplada</t>
  </si>
  <si>
    <t xml:space="preserve">Alçada</t>
  </si>
  <si>
    <t xml:space="preserve">Parcial</t>
  </si>
  <si>
    <t xml:space="preserve">Subtotal</t>
  </si>
  <si>
    <t xml:space="preserve">Portes entrada gatera</t>
  </si>
  <si>
    <t xml:space="preserve">IVN110</t>
  </si>
  <si>
    <t xml:space="preserve">Partida</t>
  </si>
  <si>
    <t xml:space="preserve">m²</t>
  </si>
  <si>
    <t xml:space="preserve">REIXETA DE VENTILACIÓ DE LAMEL·LES FIXES D'ALUMINI.</t>
  </si>
  <si>
    <t xml:space="preserve">REIXETA DE VENTILACIÓ DE LAMEL·LES FIXES D'ALUMINI LACAT COLOR BLANC O ALTRES, AMB 60 MICRES DE GRUIX MÍNIM DE PEL·LÍCULA SECA. INCLÚS CARGOLS.</t>
  </si>
  <si>
    <t xml:space="preserve">Uts.</t>
  </si>
  <si>
    <t xml:space="preserve">Llargada</t>
  </si>
  <si>
    <t xml:space="preserve">Amplada</t>
  </si>
  <si>
    <t xml:space="preserve">Alçada</t>
  </si>
  <si>
    <t xml:space="preserve">Parcial</t>
  </si>
  <si>
    <t xml:space="preserve">Subtotal</t>
  </si>
  <si>
    <t xml:space="preserve">Previssió reixes ventilació mòduls 1-4 (reixa doble interior+exterior)</t>
  </si>
  <si>
    <t xml:space="preserve">EARC1101</t>
  </si>
  <si>
    <t xml:space="preserve">Partida</t>
  </si>
  <si>
    <t xml:space="preserve">UT</t>
  </si>
  <si>
    <t xml:space="preserve">PORTA ACCÉS RECINTE. MALLA ELECTROSOLDADA</t>
  </si>
  <si>
    <t xml:space="preserve">PORTA METÁL.LICA DE DUES FULLES BATENTS, FORMADA PER BASTIDOR DE PERFILS METÀL.LICS I MALLA ELECTROSOLDADA. S'INCLOUEN LES CORRESPONENTS COLUMNES PER A LA SUBJECCIÓ, PERNS REGULABLES I PANY. MIDES PORTA 2,00X2,00. ACABAT GALVANITZAT EN CALENT TIPUS Z-275; INCLOU FONAMENTACIÓ I MUNTATGE DE LA PORTA.</t>
  </si>
  <si>
    <t xml:space="preserve">Uts.</t>
  </si>
  <si>
    <t xml:space="preserve">Llargada</t>
  </si>
  <si>
    <t xml:space="preserve">Amplada</t>
  </si>
  <si>
    <t xml:space="preserve">Alçada</t>
  </si>
  <si>
    <t xml:space="preserve">Parcial</t>
  </si>
  <si>
    <t xml:space="preserve">Subtotal</t>
  </si>
  <si>
    <t xml:space="preserve">Porta accés recinte</t>
  </si>
  <si>
    <t xml:space="preserve">EARC1201</t>
  </si>
  <si>
    <t xml:space="preserve">Partida</t>
  </si>
  <si>
    <t xml:space="preserve">UT</t>
  </si>
  <si>
    <t xml:space="preserve">PORTES ACCÉS PATIS. MALLA ELECTROSOLDADA</t>
  </si>
  <si>
    <t xml:space="preserve">PORTA METÀL.LICA D'UNA FULLA BATENT FORMADA PER BASTIDOR DE PERFIL METÀL.LIC I MALLA ELECTROSOLDADA DE 200X50MM I FILFERRO DE Ø5MM. S'INCLOUEN ELS CORRESPONENTS COLUMNES DE SUBJECCIÓ, ELS PERNS REGULABLES I EL PANY. MIDES PORTA, 1,00 X 2,00 M. ACABAT GALVANITZAT EN CALENT TIPUS Z-275 MÉS PLASTIFICAT PROTECLINE® RAL7016. SUMINISTRAMENT I MUNTATGE DE LA PORTA, AIXÍ COM LA FONAMENTACIÓ, INCLÒS.</t>
  </si>
  <si>
    <t xml:space="preserve">Uts.</t>
  </si>
  <si>
    <t xml:space="preserve">Llargada</t>
  </si>
  <si>
    <t xml:space="preserve">Amplada</t>
  </si>
  <si>
    <t xml:space="preserve">Alçada</t>
  </si>
  <si>
    <t xml:space="preserve">Parcial</t>
  </si>
  <si>
    <t xml:space="preserve">Subtotal</t>
  </si>
  <si>
    <t xml:space="preserve">Porta accés patis</t>
  </si>
  <si>
    <t xml:space="preserve">LPA010b</t>
  </si>
  <si>
    <t xml:space="preserve">Partida</t>
  </si>
  <si>
    <t xml:space="preserve">U</t>
  </si>
  <si>
    <t xml:space="preserve">PORTA ABATIBLE, D'ACER GALVANITZAT.</t>
  </si>
  <si>
    <t xml:space="preserve">PORTA ABATIBLE D'UNA FULLA DE 38 MM D'ESPESSOR, 700X1745 MM DE LLUM I ALTURA DE PAS, ACABAT GALVANITZAT FORMADA PER DUES XAPES D'ACER GALVANITZAT DE 0,5 MM D'ESPESSOR AMB REIXETES DE VENTILACIÓ ENCUNYADES EN LA PART SUPERIOR I INFERIOR, PLEGADES, ACOBLADES I MUNTADES, AMB CAMBRA INTERMÈDIA REPLENA DE POLIURETÀ, SOBRE MARC D'ACER GALVANITZAT DE 1 MM D'ESPESSOR, AMB BASTIMENT DE BASE. INCLÚS CARGOLS AUTOROSCANTS PER A LA FIXACIÓ DEL BASTIMENT DE BASE AL PARAMENT I CARGOLS AUTOROSCANTS PER A LA FIXACIÓ DEL BASTIMENT AL BASTIMENT DE BASE.</t>
  </si>
  <si>
    <t xml:space="preserve">Uts.</t>
  </si>
  <si>
    <t xml:space="preserve">Llargada</t>
  </si>
  <si>
    <t xml:space="preserve">Amplada</t>
  </si>
  <si>
    <t xml:space="preserve">Alçada</t>
  </si>
  <si>
    <t xml:space="preserve">Parcial</t>
  </si>
  <si>
    <t xml:space="preserve">Subtotal</t>
  </si>
  <si>
    <t xml:space="preserve">Portes Armaris Est i Oest</t>
  </si>
  <si>
    <t xml:space="preserve">TANQ</t>
  </si>
  <si>
    <t xml:space="preserve">MOB</t>
  </si>
  <si>
    <t xml:space="preserve">Capítol</t>
  </si>
  <si>
    <t xml:space="preserve">MOBILIARI, JARDINERIA</t>
  </si>
  <si>
    <t xml:space="preserve">FR3P1211</t>
  </si>
  <si>
    <t xml:space="preserve">Partida</t>
  </si>
  <si>
    <t xml:space="preserve">M3</t>
  </si>
  <si>
    <t xml:space="preserve">APORTACIÓ+INCORP.TERRA VEGETAL GARBELLADA,GRANEL,MITJ.MAN.</t>
  </si>
  <si>
    <t xml:space="preserve">APORTACIÓ I INCORPORACIÓ DE TERRA VEGETAL DE JARDINERIA DE CATEGORIA ALTA, AMB UNA CONDUCTIVITAT ELÈCTRICA MENOR DE 0,8 DS/M, SEGONS NTJ 07A, SUBMINISTRADA EN SACS DE 0,8 M3 I ESCAMPADA AMB MITJANS MANUALS.</t>
  </si>
  <si>
    <t xml:space="preserve">Uts.</t>
  </si>
  <si>
    <t xml:space="preserve">Llargada</t>
  </si>
  <si>
    <t xml:space="preserve">Amplada</t>
  </si>
  <si>
    <t xml:space="preserve">Alçada</t>
  </si>
  <si>
    <t xml:space="preserve">Parcial</t>
  </si>
  <si>
    <t xml:space="preserve">Subtotal</t>
  </si>
  <si>
    <t xml:space="preserve">Parterres</t>
  </si>
  <si>
    <t xml:space="preserve">ER4SG010</t>
  </si>
  <si>
    <t xml:space="preserve">Partida</t>
  </si>
  <si>
    <t xml:space="preserve">u</t>
  </si>
  <si>
    <t xml:space="preserve">SUBMINISTRAMENT LAVANDULA ANGUSTIFOLIA,CONTENIDOR</t>
  </si>
  <si>
    <t xml:space="preserve">SUBMINISTRAMENT ESPÍGOL VERD (LAVANDULA ANGUSTIFOLIA).</t>
  </si>
  <si>
    <t xml:space="preserve">Uts.</t>
  </si>
  <si>
    <t xml:space="preserve">Llargada</t>
  </si>
  <si>
    <t xml:space="preserve">Amplada</t>
  </si>
  <si>
    <t xml:space="preserve">Alçada</t>
  </si>
  <si>
    <t xml:space="preserve">Parcial</t>
  </si>
  <si>
    <t xml:space="preserve">Subtotal</t>
  </si>
  <si>
    <t xml:space="preserve">ER661111</t>
  </si>
  <si>
    <t xml:space="preserve">Partida</t>
  </si>
  <si>
    <t xml:space="preserve">u</t>
  </si>
  <si>
    <t xml:space="preserve">PLANTACIÓ ARBUST,H=0,1-0,6M,M.MAN.,PEND.&lt;25%</t>
  </si>
  <si>
    <t xml:space="preserve">PLANTACIÓ D'ARBUST D'ALÇÀRIA 0,1 A 0,6 M, AMB MITJANS MANUALS, EN UN PENDENT INFERIOR AL 25 %</t>
  </si>
  <si>
    <t xml:space="preserve">Uts.</t>
  </si>
  <si>
    <t xml:space="preserve">Llargada</t>
  </si>
  <si>
    <t xml:space="preserve">Amplada</t>
  </si>
  <si>
    <t xml:space="preserve">Alçada</t>
  </si>
  <si>
    <t xml:space="preserve">Parcial</t>
  </si>
  <si>
    <t xml:space="preserve">Subtotal</t>
  </si>
  <si>
    <t xml:space="preserve">TMI050</t>
  </si>
  <si>
    <t xml:space="preserve">Partida</t>
  </si>
  <si>
    <t xml:space="preserve">U</t>
  </si>
  <si>
    <t xml:space="preserve">APARCAMENT PER A BICICLETES, D'ACER.</t>
  </si>
  <si>
    <t xml:space="preserve">APARCAMENT PER A 2 BICICLETES, FORMAT POR ESTRUCTURA DE TUB D'ACER ZINCAT BICROMATAT DE 48 MM DE DIÀMETRE I 2 MM DE GRUIX, DE 0,75X0,75 M, AMB VOLANDERA D'ACABAT INFERIOR, FIXAT A UNA BASE DE FORMIGÓ HM-20/P/20/X0. INCLÚS REPLANTEIG, EXCAVACIÓ MANUAL DEL TERRENY, ELEMENTS D'ANCORATGE I ELIMINACIÓ I NETEJA DEL MATERIAL SOBRANT.</t>
  </si>
  <si>
    <t xml:space="preserve">Uts.</t>
  </si>
  <si>
    <t xml:space="preserve">Llargada</t>
  </si>
  <si>
    <t xml:space="preserve">Amplada</t>
  </si>
  <si>
    <t xml:space="preserve">Alçada</t>
  </si>
  <si>
    <t xml:space="preserve">Parcial</t>
  </si>
  <si>
    <t xml:space="preserve">Subtotal</t>
  </si>
  <si>
    <t xml:space="preserve">Previssió Aparcament</t>
  </si>
  <si>
    <t xml:space="preserve">MOB</t>
  </si>
  <si>
    <t xml:space="preserve">SENY</t>
  </si>
  <si>
    <t xml:space="preserve">Capítol</t>
  </si>
  <si>
    <t xml:space="preserve">SENYALITZACIÓ</t>
  </si>
  <si>
    <t xml:space="preserve">U64105</t>
  </si>
  <si>
    <t xml:space="preserve">Partida</t>
  </si>
  <si>
    <t xml:space="preserve">ML</t>
  </si>
  <si>
    <t xml:space="preserve">PINTAT SOBRE PAVIMENT D'UNA FAIXA DE 10 CM EN PETITES ACTUACIONS</t>
  </si>
  <si>
    <t xml:space="preserve">PINTAT SOBRE PAVIMENT D'UNA FAIXA CONTÍNUA O DISCONTÍNUA DE 10 cm D'AMPLÀRIA, AMB PINTURA ACRÍLICA TIPUS "KOTE TRAFICO BLANCO 4" O SIMILAR, AMB MAQUINÀRIA AUTOPROPULSADA. S'INCLOU EL PREMARCATGE. EN PETITES ACTUACIONS.</t>
  </si>
  <si>
    <t xml:space="preserve">Uts.</t>
  </si>
  <si>
    <t xml:space="preserve">Llargada</t>
  </si>
  <si>
    <t xml:space="preserve">Amplada</t>
  </si>
  <si>
    <t xml:space="preserve">Alçada</t>
  </si>
  <si>
    <t xml:space="preserve">Parcial</t>
  </si>
  <si>
    <t xml:space="preserve">Subtotal</t>
  </si>
  <si>
    <t xml:space="preserve">Total àmbit obra</t>
  </si>
  <si>
    <t xml:space="preserve">U64205</t>
  </si>
  <si>
    <t xml:space="preserve">Partida</t>
  </si>
  <si>
    <t xml:space="preserve">M2</t>
  </si>
  <si>
    <t xml:space="preserve">PINTAT SOBRE PAVIMENT D'UNA FEIXA DE MÉS DE 30 CM EN PETITES ACTUACIONS</t>
  </si>
  <si>
    <t xml:space="preserve">PINTAT SOBRE PAVIMENT D'UNA FEIXA TRANSVERSAL CONTÍNUA O DISCONTÍNUA DE 30, 40 O 50 CM D'AMPLÀRIA, AMB MÀQUINA D'ACCIONAMENT MANUAL. AMB PINTURA DE DOBLE COMPONENT ANTILLISCANT, EN PETITES ACTUACIONS</t>
  </si>
  <si>
    <t xml:space="preserve">Uts.</t>
  </si>
  <si>
    <t xml:space="preserve">Llargada</t>
  </si>
  <si>
    <t xml:space="preserve">Amplada</t>
  </si>
  <si>
    <t xml:space="preserve">Alçada</t>
  </si>
  <si>
    <t xml:space="preserve">Parcial</t>
  </si>
  <si>
    <t xml:space="preserve">Subtotal</t>
  </si>
  <si>
    <t xml:space="preserve">Franjes (detenció i pas de vianants)</t>
  </si>
  <si>
    <t xml:space="preserve">U64260</t>
  </si>
  <si>
    <t xml:space="preserve">Partida</t>
  </si>
  <si>
    <t xml:space="preserve">M2</t>
  </si>
  <si>
    <t xml:space="preserve">PINTAT SOBRE PAVIMENT DE LLETRES DOBLE COMPONENT PER A PETITES ACTUACIONS</t>
  </si>
  <si>
    <t xml:space="preserve">PINTAT SOBRE PAVIMENT DE LLETRES, FLETXES, FIGURES, ETC. AMB MÀQUINA D'ACCIONAMENT MANUAL. AMB PINTURA DE DOBLE COMPONENT ANTILLISCANT, PER A PETITES ACTUACIONS.</t>
  </si>
  <si>
    <t xml:space="preserve">Uts.</t>
  </si>
  <si>
    <t xml:space="preserve">Llargada</t>
  </si>
  <si>
    <t xml:space="preserve">Amplada</t>
  </si>
  <si>
    <t xml:space="preserve">Alçada</t>
  </si>
  <si>
    <t xml:space="preserve">Parcial</t>
  </si>
  <si>
    <t xml:space="preserve">Subtotal</t>
  </si>
  <si>
    <t xml:space="preserve">Pintat plaça minusvàlids</t>
  </si>
  <si>
    <t xml:space="preserve">U64400</t>
  </si>
  <si>
    <t xml:space="preserve">Partida</t>
  </si>
  <si>
    <t xml:space="preserve">UT</t>
  </si>
  <si>
    <t xml:space="preserve">SUPORT RECTANGULAR D'ACER GALVAN</t>
  </si>
  <si>
    <t xml:space="preserve">SUPORT RECTANGULAR D'ACER GALVANITZAT DE 80X40X2 MM I 3 M DE LLARGÀRIA, COL·LOCAT A TERRA I FORMIGONAT. S'INCLOU DEMOLICIÓ I REPOSICIÓ DE PAVIMENT.</t>
  </si>
  <si>
    <t xml:space="preserve">Uts.</t>
  </si>
  <si>
    <t xml:space="preserve">Llargada</t>
  </si>
  <si>
    <t xml:space="preserve">Amplada</t>
  </si>
  <si>
    <t xml:space="preserve">Alçada</t>
  </si>
  <si>
    <t xml:space="preserve">Parcial</t>
  </si>
  <si>
    <t xml:space="preserve">Subtotal</t>
  </si>
  <si>
    <t xml:space="preserve">Previssió</t>
  </si>
  <si>
    <t xml:space="preserve">U64005</t>
  </si>
  <si>
    <t xml:space="preserve">Partida</t>
  </si>
  <si>
    <t xml:space="preserve">UT</t>
  </si>
  <si>
    <t xml:space="preserve">PLACA REFLECTORA QUADRADA DE 60</t>
  </si>
  <si>
    <t xml:space="preserve">PLACA REFLECTORA QUADRADA, CIRCULAR, TRIANGULAR, RECTANGULAR O OCTOGONAL DE 60 CM DE COSTAT, PER A SENYALS DE TRÀNSIT FIXADA.</t>
  </si>
  <si>
    <t xml:space="preserve">Uts.</t>
  </si>
  <si>
    <t xml:space="preserve">Llargada</t>
  </si>
  <si>
    <t xml:space="preserve">Amplada</t>
  </si>
  <si>
    <t xml:space="preserve">Alçada</t>
  </si>
  <si>
    <t xml:space="preserve">Parcial</t>
  </si>
  <si>
    <t xml:space="preserve">Subtotal</t>
  </si>
  <si>
    <t xml:space="preserve">Total suports</t>
  </si>
  <si>
    <t xml:space="preserve">MSH070</t>
  </si>
  <si>
    <t xml:space="preserve">Partida</t>
  </si>
  <si>
    <t xml:space="preserve">m²</t>
  </si>
  <si>
    <t xml:space="preserve">EMMASCARAMENT DE FLETXES I INSCRIPCIONS EN VIALS.</t>
  </si>
  <si>
    <t xml:space="preserve">APLICACIÓ MANUAL DE PINTURA PLÀSTICA PER A EXTERIOR, A BASE DE RESINES ACRÍLIQUES, COLOR NEGRE, ACABAT SETINAT, TEXTURA LLISA, PER A EMMASCARAMENT DE FLETXES I INSCRIPCIONS EN VIALS.</t>
  </si>
  <si>
    <t xml:space="preserve">Uts.</t>
  </si>
  <si>
    <t xml:space="preserve">Llargada</t>
  </si>
  <si>
    <t xml:space="preserve">Amplada</t>
  </si>
  <si>
    <t xml:space="preserve">Alçada</t>
  </si>
  <si>
    <t xml:space="preserve">Parcial</t>
  </si>
  <si>
    <t xml:space="preserve">Subtotal</t>
  </si>
  <si>
    <t xml:space="preserve">Previssió</t>
  </si>
  <si>
    <t xml:space="preserve">SENY</t>
  </si>
  <si>
    <t xml:space="preserve">VAR</t>
  </si>
  <si>
    <t xml:space="preserve">Capítol</t>
  </si>
  <si>
    <t xml:space="preserve">VARIS</t>
  </si>
  <si>
    <t xml:space="preserve">8781IMPL</t>
  </si>
  <si>
    <t xml:space="preserve">Partida</t>
  </si>
  <si>
    <t xml:space="preserve">PA</t>
  </si>
  <si>
    <t xml:space="preserve">SERVEIS GATERA/MODULS PREFABRICATS</t>
  </si>
  <si>
    <t xml:space="preserve">IMPLANTACIÓ DE DOS MÒDULS PREFABRICATS, DE MIDES 2,35 X 6,00 M, DESTINATS A RECEPCIÓ/OFICINA/SERVEIS/VESTUARI I MAGATZEM.
CONNEXIONS A LES XARXES D'AIGUA, ELECTRICITAT i TELECOMUNICACIONS.</t>
  </si>
  <si>
    <t xml:space="preserve">Uts.</t>
  </si>
  <si>
    <t xml:space="preserve">Llargada</t>
  </si>
  <si>
    <t xml:space="preserve">Amplada</t>
  </si>
  <si>
    <t xml:space="preserve">Alçada</t>
  </si>
  <si>
    <t xml:space="preserve">Parcial</t>
  </si>
  <si>
    <t xml:space="preserve">Subtotal</t>
  </si>
  <si>
    <t xml:space="preserve">VAR</t>
  </si>
  <si>
    <t xml:space="preserve">SS</t>
  </si>
  <si>
    <t xml:space="preserve">Capítol</t>
  </si>
  <si>
    <t xml:space="preserve">SEGURETAT I SALUT</t>
  </si>
  <si>
    <t xml:space="preserve">ESS</t>
  </si>
  <si>
    <t xml:space="preserve">Partida</t>
  </si>
  <si>
    <t xml:space="preserve">UT</t>
  </si>
  <si>
    <t xml:space="preserve">ESTUDI DE SEGURETAT I SALUT</t>
  </si>
  <si>
    <t xml:space="preserve">ESTUDI DE SEGURETAT I SALUT</t>
  </si>
  <si>
    <t xml:space="preserve">Uts.</t>
  </si>
  <si>
    <t xml:space="preserve">Llargada</t>
  </si>
  <si>
    <t xml:space="preserve">Amplada</t>
  </si>
  <si>
    <t xml:space="preserve">Alçada</t>
  </si>
  <si>
    <t xml:space="preserve">Parcial</t>
  </si>
  <si>
    <t xml:space="preserve">Subtotal</t>
  </si>
  <si>
    <t xml:space="preserve">SS</t>
  </si>
  <si>
    <t xml:space="preserve">8781 AMI</t>
  </si>
</sst>
</file>

<file path=xl/styles.xml><?xml version="1.0" encoding="utf-8"?>
<styleSheet xmlns="http://schemas.openxmlformats.org/spreadsheetml/2006/main">
  <numFmts count="1">
    <numFmt numFmtId="200" formatCode="#,##0.00"/>
  </numFmts>
  <fonts count="7">
    <font>
      <sz val="12.00"/>
      <color rgb="FF000000"/>
      <name val="Verdana"/>
      <family val="2"/>
    </font>
    <font>
      <b/>
      <sz val="9.96"/>
      <color rgb="FF000000"/>
      <name val="Arial"/>
      <family val="2"/>
    </font>
    <font>
      <sz val="8.04"/>
      <color rgb="FF000000"/>
      <name val="Arial"/>
      <family val="2"/>
    </font>
    <font>
      <b/>
      <sz val="9.00"/>
      <color rgb="FF000000"/>
      <name val="Arial"/>
      <family val="2"/>
    </font>
    <font>
      <b/>
      <sz val="8.04"/>
      <color rgb="FF000000"/>
      <name val="Arial"/>
      <family val="2"/>
    </font>
    <font>
      <sz val="8.04"/>
      <color rgb="FF808080"/>
      <name val="Arial"/>
      <family val="2"/>
    </font>
    <font>
      <sz val="8.04"/>
      <color rgb="FF101010"/>
      <name val="Arial"/>
      <family val="2"/>
    </font>
  </fonts>
  <fills count="6">
    <fill>
      <patternFill patternType="none"/>
    </fill>
    <fill>
      <patternFill patternType="gray125"/>
    </fill>
    <fill>
      <patternFill patternType="solid">
        <fgColor rgb="FFDFFFBF"/>
      </patternFill>
    </fill>
    <fill>
      <patternFill patternType="solid">
        <fgColor rgb="FF269900"/>
      </patternFill>
    </fill>
    <fill>
      <patternFill patternType="solid">
        <fgColor rgb="FF3FB219"/>
      </patternFill>
    </fill>
    <fill>
      <patternFill patternType="solid">
        <fgColor rgb="FF58CB32"/>
      </patternFill>
    </fill>
  </fills>
  <borders count="6">
    <border>
      <left/>
      <right/>
      <top/>
      <bottom/>
      <diagonal/>
    </border>
    <border>
      <left/>
      <right/>
      <top/>
      <bottom style="thin">
        <color rgb="FF000000"/>
      </bottom>
      <diagonal/>
    </border>
    <border>
      <left/>
      <right/>
      <top style="thin">
        <color rgb="FF000000"/>
      </top>
      <bottom/>
      <diagonal/>
    </border>
    <border>
      <left/>
      <right/>
      <top/>
      <bottom style="thin">
        <color rgb="FF808080"/>
      </bottom>
      <diagonal/>
    </border>
    <border>
      <left/>
      <right/>
      <top style="thin">
        <color rgb="FF808080"/>
      </top>
      <bottom/>
      <diagonal/>
    </border>
    <border>
      <left/>
      <right/>
      <top style="thin">
        <color rgb="FF000000"/>
      </top>
      <bottom style="thin">
        <color rgb="FF000000"/>
      </bottom>
      <diagonal/>
    </border>
  </borders>
  <cellStyleXfs count="1">
    <xf numFmtId="0" fontId="0" fillId="0" borderId="0"/>
  </cellStyleXfs>
  <cellXfs count="68">
    <xf numFmtId="0" fontId="0" fillId="0" borderId="0" xfId="0" applyFont="1" applyAlignment="1">
      <alignment horizontal="left" vertical="center" wrapText="0"/>
    </xf>
    <xf numFmtId="0" fontId="1" fillId="0" borderId="0" xfId="0" applyFont="1" applyAlignment="1">
      <alignment horizontal="right" vertical="top" wrapText="1"/>
    </xf>
    <xf numFmtId="0" fontId="1" fillId="2" borderId="0" xfId="0" applyFont="1" applyAlignment="1">
      <alignment horizontal="right" vertical="top" wrapText="1"/>
    </xf>
    <xf numFmtId="0" fontId="1" fillId="0" borderId="0" xfId="0" applyFont="1" applyAlignment="1">
      <alignment horizontal="left" vertical="top" wrapText="1"/>
    </xf>
    <xf numFmtId="0" fontId="1" fillId="2" borderId="0" xfId="0" applyFont="1" applyAlignment="1">
      <alignment horizontal="left" vertical="top" wrapText="1"/>
    </xf>
    <xf numFmtId="0" fontId="0" fillId="2" borderId="0" xfId="0" applyFont="1" applyAlignment="1">
      <alignment horizontal="left" vertical="top" wrapText="1"/>
    </xf>
    <xf numFmtId="0" fontId="2" fillId="0" borderId="0" xfId="0" applyFont="1" applyAlignment="1">
      <alignment horizontal="right" vertical="top" wrapText="1"/>
    </xf>
    <xf numFmtId="0" fontId="2" fillId="2" borderId="0" xfId="0" applyFont="1" applyAlignment="1">
      <alignment horizontal="right" vertical="top" wrapText="1"/>
    </xf>
    <xf numFmtId="0" fontId="2" fillId="0" borderId="0" xfId="0" applyFont="1" applyAlignment="1">
      <alignment horizontal="left" vertical="top" wrapText="1"/>
    </xf>
    <xf numFmtId="0" fontId="2" fillId="2" borderId="0" xfId="0" applyFont="1" applyAlignment="1">
      <alignment horizontal="left" vertical="top" wrapText="1"/>
    </xf>
    <xf numFmtId="0" fontId="3" fillId="0" borderId="0" xfId="0" applyFont="1" applyAlignment="1">
      <alignment horizontal="left" vertical="top" wrapText="1"/>
    </xf>
    <xf numFmtId="0" fontId="3" fillId="2" borderId="1" xfId="0" applyFont="1" applyAlignment="1">
      <alignment horizontal="left" vertical="top" wrapText="1"/>
    </xf>
    <xf numFmtId="0" fontId="0" fillId="2" borderId="1" xfId="0" applyFont="1" applyAlignment="1">
      <alignment horizontal="left" vertical="top" wrapText="1"/>
    </xf>
    <xf numFmtId="0" fontId="3" fillId="0" borderId="0" xfId="0" applyFont="1" applyAlignment="1">
      <alignment horizontal="right" vertical="top" wrapText="1"/>
    </xf>
    <xf numFmtId="0" fontId="3" fillId="2" borderId="1" xfId="0" applyFont="1" applyAlignment="1">
      <alignment horizontal="right" vertical="top" wrapText="1"/>
    </xf>
    <xf numFmtId="0" fontId="4" fillId="0" borderId="0" xfId="0" applyFont="1" applyAlignment="1">
      <alignment horizontal="left" vertical="top" wrapText="1"/>
    </xf>
    <xf numFmtId="0" fontId="4" fillId="3" borderId="2" xfId="0" applyFont="1" applyAlignment="1">
      <alignment horizontal="left" vertical="top" wrapText="1"/>
    </xf>
    <xf numFmtId="0" fontId="0" fillId="3" borderId="2" xfId="0" applyFont="1" applyAlignment="1">
      <alignment horizontal="left" vertical="top" wrapText="1"/>
    </xf>
    <xf numFmtId="0" fontId="4" fillId="0" borderId="0" xfId="0" applyFont="1" applyAlignment="1">
      <alignment horizontal="justify" vertical="top" wrapText="1"/>
    </xf>
    <xf numFmtId="0" fontId="4" fillId="3" borderId="2" xfId="0" applyFont="1" applyAlignment="1">
      <alignment horizontal="justify" vertical="top" wrapText="1"/>
    </xf>
    <xf numFmtId="200" fontId="4" fillId="0" borderId="0" xfId="0" applyFont="1" applyAlignment="1">
      <alignment horizontal="right" vertical="top" wrapText="1"/>
    </xf>
    <xf numFmtId="200" fontId="4" fillId="3" borderId="2" xfId="0" applyFont="1" applyAlignment="1">
      <alignment horizontal="right" vertical="top" wrapText="1"/>
    </xf>
    <xf numFmtId="0" fontId="4" fillId="4" borderId="0" xfId="0" applyFont="1" applyAlignment="1">
      <alignment horizontal="left" vertical="top" wrapText="1"/>
    </xf>
    <xf numFmtId="0" fontId="0" fillId="4" borderId="0" xfId="0" applyFont="1" applyAlignment="1">
      <alignment horizontal="left" vertical="top" wrapText="1"/>
    </xf>
    <xf numFmtId="0" fontId="4" fillId="4" borderId="0" xfId="0" applyFont="1" applyAlignment="1">
      <alignment horizontal="justify" vertical="top" wrapText="1"/>
    </xf>
    <xf numFmtId="200" fontId="4" fillId="4" borderId="0" xfId="0" applyFont="1" applyAlignment="1">
      <alignment horizontal="right" vertical="top" wrapText="1"/>
    </xf>
    <xf numFmtId="0" fontId="2" fillId="0" borderId="0" xfId="0" applyFont="1" applyAlignment="1">
      <alignment horizontal="justify" vertical="top" wrapText="1"/>
    </xf>
    <xf numFmtId="200" fontId="2" fillId="0" borderId="0" xfId="0" applyFont="1" applyAlignment="1">
      <alignment horizontal="right" vertical="top" wrapText="1"/>
    </xf>
    <xf numFmtId="0" fontId="0" fillId="0" borderId="0" xfId="0" applyFont="1" applyAlignment="1">
      <alignment horizontal="center" vertical="center" wrapText="1"/>
    </xf>
    <xf numFmtId="0" fontId="5" fillId="0" borderId="3" xfId="0" applyFont="1" applyAlignment="1">
      <alignment horizontal="left" vertical="top" wrapText="1"/>
    </xf>
    <xf numFmtId="0" fontId="5" fillId="0" borderId="0" xfId="0" applyFont="1" applyAlignment="1">
      <alignment horizontal="right" vertical="top" wrapText="1"/>
    </xf>
    <xf numFmtId="0" fontId="5" fillId="0" borderId="3" xfId="0" applyFont="1" applyAlignment="1">
      <alignment horizontal="right" vertical="top" wrapText="1"/>
    </xf>
    <xf numFmtId="0" fontId="5" fillId="0" borderId="0" xfId="0" applyFont="1" applyAlignment="1">
      <alignment horizontal="left" vertical="top" wrapText="1"/>
    </xf>
    <xf numFmtId="0" fontId="2" fillId="0" borderId="4" xfId="0" applyFont="1" applyAlignment="1">
      <alignment horizontal="left" vertical="top" wrapText="1"/>
    </xf>
    <xf numFmtId="0" fontId="2" fillId="0" borderId="4" xfId="0" applyFont="1" applyAlignment="1">
      <alignment horizontal="right" vertical="top" wrapText="1"/>
    </xf>
    <xf numFmtId="200" fontId="2" fillId="0" borderId="4" xfId="0" applyFont="1" applyAlignment="1">
      <alignment horizontal="right" vertical="top" wrapText="1"/>
    </xf>
    <xf numFmtId="200" fontId="5" fillId="0" borderId="0" xfId="0" applyFont="1" applyAlignment="1">
      <alignment horizontal="right" vertical="top" wrapText="1"/>
    </xf>
    <xf numFmtId="200" fontId="5" fillId="0" borderId="4" xfId="0" applyFont="1" applyAlignment="1">
      <alignment horizontal="right" vertical="top" wrapText="1"/>
    </xf>
    <xf numFmtId="200" fontId="6" fillId="0" borderId="0" xfId="0" applyFont="1" applyAlignment="1">
      <alignment horizontal="right" vertical="top" wrapText="1"/>
    </xf>
    <xf numFmtId="200" fontId="6" fillId="0" borderId="4" xfId="0" applyFont="1" applyAlignment="1">
      <alignment horizontal="right" vertical="top" wrapText="1"/>
    </xf>
    <xf numFmtId="0" fontId="0" fillId="0" borderId="4" xfId="0" applyFont="1" applyAlignment="1">
      <alignment horizontal="center" vertical="center" wrapText="1"/>
    </xf>
    <xf numFmtId="0" fontId="0" fillId="0" borderId="1" xfId="0" applyFont="1" applyAlignment="1">
      <alignment horizontal="center" vertical="center" wrapText="1"/>
    </xf>
    <xf numFmtId="0" fontId="4" fillId="4" borderId="1" xfId="0" applyFont="1" applyAlignment="1">
      <alignment horizontal="left" vertical="top" wrapText="1"/>
    </xf>
    <xf numFmtId="0" fontId="0" fillId="4" borderId="1" xfId="0" applyFont="1" applyAlignment="1">
      <alignment horizontal="left" vertical="top" wrapText="1"/>
    </xf>
    <xf numFmtId="200" fontId="4" fillId="4" borderId="1" xfId="0" applyFont="1" applyAlignment="1">
      <alignment horizontal="right" vertical="top" wrapText="1"/>
    </xf>
    <xf numFmtId="0" fontId="4" fillId="4" borderId="2" xfId="0" applyFont="1" applyAlignment="1">
      <alignment horizontal="left" vertical="top" wrapText="1"/>
    </xf>
    <xf numFmtId="0" fontId="0" fillId="4" borderId="2" xfId="0" applyFont="1" applyAlignment="1">
      <alignment horizontal="left" vertical="top" wrapText="1"/>
    </xf>
    <xf numFmtId="0" fontId="4" fillId="4" borderId="2" xfId="0" applyFont="1" applyAlignment="1">
      <alignment horizontal="justify" vertical="top" wrapText="1"/>
    </xf>
    <xf numFmtId="200" fontId="4" fillId="4" borderId="2" xfId="0" applyFont="1" applyAlignment="1">
      <alignment horizontal="right" vertical="top" wrapText="1"/>
    </xf>
    <xf numFmtId="0" fontId="5" fillId="0" borderId="4" xfId="0" applyFont="1" applyAlignment="1">
      <alignment horizontal="right" vertical="top" wrapText="1"/>
    </xf>
    <xf numFmtId="0" fontId="4" fillId="5" borderId="0" xfId="0" applyFont="1" applyAlignment="1">
      <alignment horizontal="left" vertical="top" wrapText="1"/>
    </xf>
    <xf numFmtId="0" fontId="0" fillId="5" borderId="0" xfId="0" applyFont="1" applyAlignment="1">
      <alignment horizontal="left" vertical="top" wrapText="1"/>
    </xf>
    <xf numFmtId="0" fontId="4" fillId="5" borderId="0" xfId="0" applyFont="1" applyAlignment="1">
      <alignment horizontal="justify" vertical="top" wrapText="1"/>
    </xf>
    <xf numFmtId="200" fontId="4" fillId="5" borderId="0" xfId="0" applyFont="1" applyAlignment="1">
      <alignment horizontal="right" vertical="top" wrapText="1"/>
    </xf>
    <xf numFmtId="0" fontId="4" fillId="5" borderId="1" xfId="0" applyFont="1" applyAlignment="1">
      <alignment horizontal="left" vertical="top" wrapText="1"/>
    </xf>
    <xf numFmtId="0" fontId="0" fillId="5" borderId="1" xfId="0" applyFont="1" applyAlignment="1">
      <alignment horizontal="left" vertical="top" wrapText="1"/>
    </xf>
    <xf numFmtId="200" fontId="4" fillId="5" borderId="1" xfId="0" applyFont="1" applyAlignment="1">
      <alignment horizontal="right" vertical="top" wrapText="1"/>
    </xf>
    <xf numFmtId="0" fontId="4" fillId="5" borderId="2" xfId="0" applyFont="1" applyAlignment="1">
      <alignment horizontal="left" vertical="top" wrapText="1"/>
    </xf>
    <xf numFmtId="0" fontId="0" fillId="5" borderId="2" xfId="0" applyFont="1" applyAlignment="1">
      <alignment horizontal="left" vertical="top" wrapText="1"/>
    </xf>
    <xf numFmtId="0" fontId="4" fillId="5" borderId="2" xfId="0" applyFont="1" applyAlignment="1">
      <alignment horizontal="justify" vertical="top" wrapText="1"/>
    </xf>
    <xf numFmtId="200" fontId="4" fillId="5" borderId="2" xfId="0" applyFont="1" applyAlignment="1">
      <alignment horizontal="right" vertical="top" wrapText="1"/>
    </xf>
    <xf numFmtId="0" fontId="0" fillId="0" borderId="5" xfId="0" applyFont="1" applyAlignment="1">
      <alignment horizontal="center" vertical="center" wrapText="1"/>
    </xf>
    <xf numFmtId="0" fontId="4" fillId="4" borderId="5" xfId="0" applyFont="1" applyAlignment="1">
      <alignment horizontal="left" vertical="top" wrapText="1"/>
    </xf>
    <xf numFmtId="0" fontId="0" fillId="4" borderId="5" xfId="0" applyFont="1" applyAlignment="1">
      <alignment horizontal="left" vertical="top" wrapText="1"/>
    </xf>
    <xf numFmtId="200" fontId="4" fillId="4" borderId="5" xfId="0" applyFont="1" applyAlignment="1">
      <alignment horizontal="right" vertical="top" wrapText="1"/>
    </xf>
    <xf numFmtId="0" fontId="4" fillId="3" borderId="5" xfId="0" applyFont="1" applyAlignment="1">
      <alignment horizontal="left" vertical="top" wrapText="1"/>
    </xf>
    <xf numFmtId="0" fontId="0" fillId="3" borderId="5" xfId="0" applyFont="1" applyAlignment="1">
      <alignment horizontal="left" vertical="top" wrapText="1"/>
    </xf>
    <xf numFmtId="200" fontId="4" fillId="3" borderId="5"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43" customWidth="1"/>
    <col min="2" max="2" width="6.57" customWidth="1"/>
    <col min="3" max="3" width="3.14" customWidth="1"/>
    <col min="4" max="4" width="17.74" customWidth="1"/>
    <col min="5" max="5" width="10.33" customWidth="1"/>
    <col min="6" max="6" width="5.61" customWidth="1"/>
    <col min="7" max="7" width="5.59" customWidth="1"/>
    <col min="8" max="8" width="5.72" customWidth="1"/>
    <col min="9" max="9" width="4.92" customWidth="1"/>
    <col min="10" max="10" width="6.20" customWidth="1"/>
    <col min="11" max="11" width="8.16" customWidth="1"/>
    <col min="12" max="12" width="8.08" customWidth="1"/>
    <col min="13" max="13" width="8.16" customWidth="1"/>
  </cols>
  <sheetData>
    <row r="1" spans="1:13" ht="17.76" thickBot="1" customHeight="1">
      <c r="A1" s="2" t="s">
        <v>0</v>
      </c>
      <c r="B1" s="4" t="s">
        <v>1</v>
      </c>
      <c r="C1" s="4"/>
      <c r="D1" s="4"/>
      <c r="E1" s="4"/>
      <c r="F1" s="4"/>
      <c r="G1" s="4"/>
      <c r="H1" s="4"/>
      <c r="I1" s="4"/>
      <c r="J1" s="4"/>
      <c r="K1" s="4"/>
      <c r="L1" s="4"/>
      <c r="M1" s="4"/>
    </row>
    <row r="2" spans="1:13" ht="17.76" thickBot="1" customHeight="1">
      <c r="A2" s="4" t="s">
        <v>2</v>
      </c>
      <c r="B2" s="4"/>
      <c r="C2" s="4"/>
      <c r="D2" s="5"/>
      <c r="E2" s="5"/>
      <c r="F2" s="5"/>
      <c r="G2" s="5"/>
      <c r="H2" s="5"/>
      <c r="I2" s="5"/>
      <c r="J2" s="5"/>
      <c r="K2" s="5"/>
      <c r="L2" s="7" t="s">
        <v>3</v>
      </c>
      <c r="M2" s="9">
        <v>3</v>
      </c>
    </row>
    <row r="3" spans="1:13" ht="16.68" thickBot="1" customHeight="1">
      <c r="A3" s="11" t="s">
        <v>4</v>
      </c>
      <c r="B3" s="11" t="s">
        <v>5</v>
      </c>
      <c r="C3" s="11" t="s">
        <v>6</v>
      </c>
      <c r="D3" s="11" t="s">
        <v>7</v>
      </c>
      <c r="E3" s="12"/>
      <c r="F3" s="12"/>
      <c r="G3" s="12"/>
      <c r="H3" s="12"/>
      <c r="I3" s="12"/>
      <c r="J3" s="12"/>
      <c r="K3" s="14" t="s">
        <v>8</v>
      </c>
      <c r="L3" s="14" t="s">
        <v>9</v>
      </c>
      <c r="M3" s="14" t="s">
        <v>10</v>
      </c>
    </row>
    <row r="4" spans="1:13" ht="15.48" thickBot="1" customHeight="1">
      <c r="A4" s="16" t="s">
        <v>11</v>
      </c>
      <c r="B4" s="16" t="s">
        <v>12</v>
      </c>
      <c r="C4" s="17"/>
      <c r="D4" s="19" t="s">
        <v>13</v>
      </c>
      <c r="E4" s="19"/>
      <c r="F4" s="19"/>
      <c r="G4" s="19"/>
      <c r="H4" s="19"/>
      <c r="I4" s="19"/>
      <c r="J4" s="19"/>
      <c r="K4" s="17"/>
      <c r="L4" s="21">
        <f ca="1">L498</f>
        <v>0</v>
      </c>
      <c r="M4" s="21">
        <f ca="1">ROUND(L4,2)</f>
        <v>0</v>
      </c>
    </row>
    <row r="5" spans="1:13" ht="15.48" thickBot="1" customHeight="1">
      <c r="A5" s="22" t="s">
        <v>14</v>
      </c>
      <c r="B5" s="22" t="s">
        <v>15</v>
      </c>
      <c r="C5" s="23"/>
      <c r="D5" s="24" t="s">
        <v>16</v>
      </c>
      <c r="E5" s="24"/>
      <c r="F5" s="24"/>
      <c r="G5" s="24"/>
      <c r="H5" s="24"/>
      <c r="I5" s="24"/>
      <c r="J5" s="24"/>
      <c r="K5" s="23"/>
      <c r="L5" s="25">
        <f ca="1">L32</f>
        <v>0</v>
      </c>
      <c r="M5" s="25">
        <f ca="1">ROUND(L5,2)</f>
        <v>0</v>
      </c>
    </row>
    <row r="6" spans="1:13" ht="15.48" thickBot="1" customHeight="1">
      <c r="A6" s="15" t="s">
        <v>17</v>
      </c>
      <c r="B6" s="8" t="s">
        <v>18</v>
      </c>
      <c r="C6" s="8" t="s">
        <v>19</v>
      </c>
      <c r="D6" s="26" t="s">
        <v>20</v>
      </c>
      <c r="E6" s="26"/>
      <c r="F6" s="26"/>
      <c r="G6" s="26"/>
      <c r="H6" s="26"/>
      <c r="I6" s="26"/>
      <c r="J6" s="26"/>
      <c r="K6" s="27">
        <f ca="1">SUM(K9:K9)</f>
        <v>0</v>
      </c>
      <c r="L6" s="27">
        <f ca="1">ROUND(182.67*(1+M2/100),2)</f>
        <v>0</v>
      </c>
      <c r="M6" s="27">
        <f ca="1">ROUND(K6*L6,2)</f>
        <v>0</v>
      </c>
    </row>
    <row r="7" spans="1:13" ht="21.36" thickBot="1" customHeight="1">
      <c r="A7" s="28"/>
      <c r="B7" s="28"/>
      <c r="C7" s="28"/>
      <c r="D7" s="26" t="s">
        <v>21</v>
      </c>
      <c r="E7" s="26"/>
      <c r="F7" s="26"/>
      <c r="G7" s="26"/>
      <c r="H7" s="26"/>
      <c r="I7" s="26"/>
      <c r="J7" s="26"/>
      <c r="K7" s="26"/>
      <c r="L7" s="26"/>
      <c r="M7" s="26"/>
    </row>
    <row r="8" spans="1:13" ht="15.12" thickBot="1" customHeight="1">
      <c r="A8" s="28"/>
      <c r="B8" s="28"/>
      <c r="C8" s="28"/>
      <c r="D8" s="28"/>
      <c r="E8" s="29"/>
      <c r="F8" s="31" t="s">
        <v>22</v>
      </c>
      <c r="G8" s="31" t="s">
        <v>23</v>
      </c>
      <c r="H8" s="31" t="s">
        <v>24</v>
      </c>
      <c r="I8" s="31" t="s">
        <v>25</v>
      </c>
      <c r="J8" s="31" t="s">
        <v>26</v>
      </c>
      <c r="K8" s="31" t="s">
        <v>27</v>
      </c>
      <c r="L8" s="28"/>
      <c r="M8" s="28"/>
    </row>
    <row r="9" spans="1:13" ht="21.36" thickBot="1" customHeight="1">
      <c r="A9" s="28"/>
      <c r="B9" s="28"/>
      <c r="C9" s="28"/>
      <c r="D9" s="32"/>
      <c r="E9" s="33" t="s">
        <v>28</v>
      </c>
      <c r="F9" s="34">
        <v>4</v>
      </c>
      <c r="G9" s="35"/>
      <c r="H9" s="35"/>
      <c r="I9" s="35"/>
      <c r="J9" s="37">
        <f ca="1">ROUND(F9,2)</f>
        <v>0</v>
      </c>
      <c r="K9" s="39">
        <f ca="1">SUM(J9:J9)</f>
        <v>0</v>
      </c>
      <c r="L9" s="28"/>
      <c r="M9" s="28"/>
    </row>
    <row r="10" spans="1:13" ht="15.48" thickBot="1" customHeight="1">
      <c r="A10" s="15" t="s">
        <v>29</v>
      </c>
      <c r="B10" s="8" t="s">
        <v>30</v>
      </c>
      <c r="C10" s="8" t="s">
        <v>31</v>
      </c>
      <c r="D10" s="26" t="s">
        <v>32</v>
      </c>
      <c r="E10" s="26"/>
      <c r="F10" s="26"/>
      <c r="G10" s="26"/>
      <c r="H10" s="26"/>
      <c r="I10" s="26"/>
      <c r="J10" s="26"/>
      <c r="K10" s="27">
        <f ca="1">SUM(K13:K13)</f>
        <v>0</v>
      </c>
      <c r="L10" s="27">
        <f ca="1">ROUND(2.07*(1+M2/100),2)</f>
        <v>0</v>
      </c>
      <c r="M10" s="27">
        <f ca="1">ROUND(K10*L10,2)</f>
        <v>0</v>
      </c>
    </row>
    <row r="11" spans="1:13" ht="12.12" thickBot="1" customHeight="1">
      <c r="A11" s="28"/>
      <c r="B11" s="28"/>
      <c r="C11" s="28"/>
      <c r="D11" s="26" t="s">
        <v>33</v>
      </c>
      <c r="E11" s="26"/>
      <c r="F11" s="26"/>
      <c r="G11" s="26"/>
      <c r="H11" s="26"/>
      <c r="I11" s="26"/>
      <c r="J11" s="26"/>
      <c r="K11" s="26"/>
      <c r="L11" s="26"/>
      <c r="M11" s="26"/>
    </row>
    <row r="12" spans="1:13" ht="15.12" thickBot="1" customHeight="1">
      <c r="A12" s="28"/>
      <c r="B12" s="28"/>
      <c r="C12" s="28"/>
      <c r="D12" s="28"/>
      <c r="E12" s="29"/>
      <c r="F12" s="31" t="s">
        <v>34</v>
      </c>
      <c r="G12" s="31" t="s">
        <v>35</v>
      </c>
      <c r="H12" s="31" t="s">
        <v>36</v>
      </c>
      <c r="I12" s="31" t="s">
        <v>37</v>
      </c>
      <c r="J12" s="31" t="s">
        <v>38</v>
      </c>
      <c r="K12" s="31" t="s">
        <v>39</v>
      </c>
      <c r="L12" s="28"/>
      <c r="M12" s="28"/>
    </row>
    <row r="13" spans="1:13" ht="15.12" thickBot="1" customHeight="1">
      <c r="A13" s="28"/>
      <c r="B13" s="28"/>
      <c r="C13" s="28"/>
      <c r="D13" s="32"/>
      <c r="E13" s="33" t="s">
        <v>40</v>
      </c>
      <c r="F13" s="34">
        <v>1</v>
      </c>
      <c r="G13" s="35">
        <v>40.50</v>
      </c>
      <c r="H13" s="35">
        <v>25.82</v>
      </c>
      <c r="I13" s="35"/>
      <c r="J13" s="37">
        <f ca="1">ROUND(F13*G13*H13,2)</f>
        <v>0</v>
      </c>
      <c r="K13" s="39">
        <f ca="1">SUM(J13:J13)</f>
        <v>0</v>
      </c>
      <c r="L13" s="28"/>
      <c r="M13" s="28"/>
    </row>
    <row r="14" spans="1:13" ht="15.48" thickBot="1" customHeight="1">
      <c r="A14" s="15" t="s">
        <v>41</v>
      </c>
      <c r="B14" s="8" t="s">
        <v>42</v>
      </c>
      <c r="C14" s="8" t="s">
        <v>43</v>
      </c>
      <c r="D14" s="26" t="s">
        <v>44</v>
      </c>
      <c r="E14" s="26"/>
      <c r="F14" s="26"/>
      <c r="G14" s="26"/>
      <c r="H14" s="26"/>
      <c r="I14" s="26"/>
      <c r="J14" s="26"/>
      <c r="K14" s="27">
        <f ca="1">SUM(K17:K18)</f>
        <v>0</v>
      </c>
      <c r="L14" s="27">
        <f ca="1">ROUND(3.14*(1+M2/100),2)</f>
        <v>0</v>
      </c>
      <c r="M14" s="27">
        <f ca="1">ROUND(K14*L14,2)</f>
        <v>0</v>
      </c>
    </row>
    <row r="15" spans="1:13" ht="21.36" thickBot="1" customHeight="1">
      <c r="A15" s="28"/>
      <c r="B15" s="28"/>
      <c r="C15" s="28"/>
      <c r="D15" s="26" t="s">
        <v>45</v>
      </c>
      <c r="E15" s="26"/>
      <c r="F15" s="26"/>
      <c r="G15" s="26"/>
      <c r="H15" s="26"/>
      <c r="I15" s="26"/>
      <c r="J15" s="26"/>
      <c r="K15" s="26"/>
      <c r="L15" s="26"/>
      <c r="M15" s="26"/>
    </row>
    <row r="16" spans="1:13" ht="15.12" thickBot="1" customHeight="1">
      <c r="A16" s="28"/>
      <c r="B16" s="28"/>
      <c r="C16" s="28"/>
      <c r="D16" s="28"/>
      <c r="E16" s="29"/>
      <c r="F16" s="31" t="s">
        <v>46</v>
      </c>
      <c r="G16" s="31" t="s">
        <v>47</v>
      </c>
      <c r="H16" s="31" t="s">
        <v>48</v>
      </c>
      <c r="I16" s="31" t="s">
        <v>49</v>
      </c>
      <c r="J16" s="31" t="s">
        <v>50</v>
      </c>
      <c r="K16" s="31" t="s">
        <v>51</v>
      </c>
      <c r="L16" s="28"/>
      <c r="M16" s="28"/>
    </row>
    <row r="17" spans="1:13" ht="21.36" thickBot="1" customHeight="1">
      <c r="A17" s="28"/>
      <c r="B17" s="28"/>
      <c r="C17" s="28"/>
      <c r="D17" s="32"/>
      <c r="E17" s="33" t="s">
        <v>52</v>
      </c>
      <c r="F17" s="34"/>
      <c r="G17" s="35">
        <v>13.00</v>
      </c>
      <c r="H17" s="35">
        <v>25.50</v>
      </c>
      <c r="I17" s="35">
        <v>0.60</v>
      </c>
      <c r="J17" s="37">
        <f ca="1">ROUND(G17*H17*I17,2)</f>
        <v>0</v>
      </c>
      <c r="K17" s="40"/>
      <c r="L17" s="28"/>
      <c r="M17" s="28"/>
    </row>
    <row r="18" spans="1:13" ht="15.12" thickBot="1" customHeight="1">
      <c r="A18" s="28"/>
      <c r="B18" s="28"/>
      <c r="C18" s="28"/>
      <c r="D18" s="32"/>
      <c r="E18" s="8" t="s">
        <v>53</v>
      </c>
      <c r="F18" s="6"/>
      <c r="G18" s="27">
        <v>23.50</v>
      </c>
      <c r="H18" s="27">
        <v>17.00</v>
      </c>
      <c r="I18" s="27">
        <v>0.60</v>
      </c>
      <c r="J18" s="36">
        <f ca="1">ROUND(G18*H18*I18,2)</f>
        <v>0</v>
      </c>
      <c r="K18" s="38">
        <f ca="1">SUM(J17:J18)</f>
        <v>0</v>
      </c>
      <c r="L18" s="28"/>
      <c r="M18" s="28"/>
    </row>
    <row r="19" spans="1:13" ht="15.48" thickBot="1" customHeight="1">
      <c r="A19" s="15" t="s">
        <v>54</v>
      </c>
      <c r="B19" s="8" t="s">
        <v>55</v>
      </c>
      <c r="C19" s="8" t="s">
        <v>56</v>
      </c>
      <c r="D19" s="26" t="s">
        <v>57</v>
      </c>
      <c r="E19" s="26"/>
      <c r="F19" s="26"/>
      <c r="G19" s="26"/>
      <c r="H19" s="26"/>
      <c r="I19" s="26"/>
      <c r="J19" s="26"/>
      <c r="K19" s="27">
        <f ca="1">SUM(K22:K23)</f>
        <v>0</v>
      </c>
      <c r="L19" s="27">
        <f ca="1">ROUND(1.01*(1+M2/100),2)</f>
        <v>0</v>
      </c>
      <c r="M19" s="27">
        <f ca="1">ROUND(K19*L19,2)</f>
        <v>0</v>
      </c>
    </row>
    <row r="20" spans="1:13" ht="12.12" thickBot="1" customHeight="1">
      <c r="A20" s="28"/>
      <c r="B20" s="28"/>
      <c r="C20" s="28"/>
      <c r="D20" s="26" t="s">
        <v>58</v>
      </c>
      <c r="E20" s="26"/>
      <c r="F20" s="26"/>
      <c r="G20" s="26"/>
      <c r="H20" s="26"/>
      <c r="I20" s="26"/>
      <c r="J20" s="26"/>
      <c r="K20" s="26"/>
      <c r="L20" s="26"/>
      <c r="M20" s="26"/>
    </row>
    <row r="21" spans="1:13" ht="15.12" thickBot="1" customHeight="1">
      <c r="A21" s="28"/>
      <c r="B21" s="28"/>
      <c r="C21" s="28"/>
      <c r="D21" s="28"/>
      <c r="E21" s="29"/>
      <c r="F21" s="31" t="s">
        <v>59</v>
      </c>
      <c r="G21" s="31" t="s">
        <v>60</v>
      </c>
      <c r="H21" s="31" t="s">
        <v>61</v>
      </c>
      <c r="I21" s="31" t="s">
        <v>62</v>
      </c>
      <c r="J21" s="31" t="s">
        <v>63</v>
      </c>
      <c r="K21" s="31" t="s">
        <v>64</v>
      </c>
      <c r="L21" s="28"/>
      <c r="M21" s="28"/>
    </row>
    <row r="22" spans="1:13" ht="21.36" thickBot="1" customHeight="1">
      <c r="A22" s="28"/>
      <c r="B22" s="28"/>
      <c r="C22" s="28"/>
      <c r="D22" s="32"/>
      <c r="E22" s="33" t="s">
        <v>65</v>
      </c>
      <c r="F22" s="34"/>
      <c r="G22" s="35">
        <v>13.00</v>
      </c>
      <c r="H22" s="35">
        <v>25.50</v>
      </c>
      <c r="I22" s="35"/>
      <c r="J22" s="37">
        <f ca="1">ROUND(G22*H22,2)</f>
        <v>0</v>
      </c>
      <c r="K22" s="40"/>
      <c r="L22" s="28"/>
      <c r="M22" s="28"/>
    </row>
    <row r="23" spans="1:13" ht="15.12" thickBot="1" customHeight="1">
      <c r="A23" s="28"/>
      <c r="B23" s="28"/>
      <c r="C23" s="28"/>
      <c r="D23" s="32"/>
      <c r="E23" s="8" t="s">
        <v>66</v>
      </c>
      <c r="F23" s="6"/>
      <c r="G23" s="27">
        <v>23.50</v>
      </c>
      <c r="H23" s="27">
        <v>17.00</v>
      </c>
      <c r="I23" s="27"/>
      <c r="J23" s="36">
        <f ca="1">ROUND(G23*H23,2)</f>
        <v>0</v>
      </c>
      <c r="K23" s="38">
        <f ca="1">SUM(J22:J23)</f>
        <v>0</v>
      </c>
      <c r="L23" s="28"/>
      <c r="M23" s="28"/>
    </row>
    <row r="24" spans="1:13" ht="15.48" thickBot="1" customHeight="1">
      <c r="A24" s="15" t="s">
        <v>67</v>
      </c>
      <c r="B24" s="8" t="s">
        <v>68</v>
      </c>
      <c r="C24" s="8" t="s">
        <v>69</v>
      </c>
      <c r="D24" s="26" t="s">
        <v>70</v>
      </c>
      <c r="E24" s="26"/>
      <c r="F24" s="26"/>
      <c r="G24" s="26"/>
      <c r="H24" s="26"/>
      <c r="I24" s="26"/>
      <c r="J24" s="26"/>
      <c r="K24" s="27">
        <f ca="1">SUM(K27:K27)</f>
        <v>0</v>
      </c>
      <c r="L24" s="27">
        <f ca="1">ROUND(10.07*(1+M2/100),2)</f>
        <v>0</v>
      </c>
      <c r="M24" s="27">
        <f ca="1">ROUND(K24*L24,2)</f>
        <v>0</v>
      </c>
    </row>
    <row r="25" spans="1:13" ht="21.36" thickBot="1" customHeight="1">
      <c r="A25" s="28"/>
      <c r="B25" s="28"/>
      <c r="C25" s="28"/>
      <c r="D25" s="26" t="s">
        <v>71</v>
      </c>
      <c r="E25" s="26"/>
      <c r="F25" s="26"/>
      <c r="G25" s="26"/>
      <c r="H25" s="26"/>
      <c r="I25" s="26"/>
      <c r="J25" s="26"/>
      <c r="K25" s="26"/>
      <c r="L25" s="26"/>
      <c r="M25" s="26"/>
    </row>
    <row r="26" spans="1:13" ht="15.12" thickBot="1" customHeight="1">
      <c r="A26" s="28"/>
      <c r="B26" s="28"/>
      <c r="C26" s="28"/>
      <c r="D26" s="28"/>
      <c r="E26" s="29"/>
      <c r="F26" s="31" t="s">
        <v>72</v>
      </c>
      <c r="G26" s="31" t="s">
        <v>73</v>
      </c>
      <c r="H26" s="31" t="s">
        <v>74</v>
      </c>
      <c r="I26" s="31" t="s">
        <v>75</v>
      </c>
      <c r="J26" s="31" t="s">
        <v>76</v>
      </c>
      <c r="K26" s="31" t="s">
        <v>77</v>
      </c>
      <c r="L26" s="28"/>
      <c r="M26" s="28"/>
    </row>
    <row r="27" spans="1:13" ht="21.36" thickBot="1" customHeight="1">
      <c r="A27" s="28"/>
      <c r="B27" s="28"/>
      <c r="C27" s="28"/>
      <c r="D27" s="32"/>
      <c r="E27" s="33" t="s">
        <v>78</v>
      </c>
      <c r="F27" s="34">
        <v>731</v>
      </c>
      <c r="G27" s="35"/>
      <c r="H27" s="35"/>
      <c r="I27" s="35">
        <v>0.75</v>
      </c>
      <c r="J27" s="37">
        <f ca="1">ROUND(F27*I27,2)</f>
        <v>0</v>
      </c>
      <c r="K27" s="39">
        <f ca="1">SUM(J27:J27)</f>
        <v>0</v>
      </c>
      <c r="L27" s="28"/>
      <c r="M27" s="28"/>
    </row>
    <row r="28" spans="1:13" ht="15.48" thickBot="1" customHeight="1">
      <c r="A28" s="15" t="s">
        <v>79</v>
      </c>
      <c r="B28" s="8" t="s">
        <v>80</v>
      </c>
      <c r="C28" s="8" t="s">
        <v>81</v>
      </c>
      <c r="D28" s="26" t="s">
        <v>82</v>
      </c>
      <c r="E28" s="26"/>
      <c r="F28" s="26"/>
      <c r="G28" s="26"/>
      <c r="H28" s="26"/>
      <c r="I28" s="26"/>
      <c r="J28" s="26"/>
      <c r="K28" s="27">
        <f ca="1">SUM(K31:K31)</f>
        <v>0</v>
      </c>
      <c r="L28" s="27">
        <f ca="1">ROUND(1.12*(1+M2/100),2)</f>
        <v>0</v>
      </c>
      <c r="M28" s="27">
        <f ca="1">ROUND(K28*L28,2)</f>
        <v>0</v>
      </c>
    </row>
    <row r="29" spans="1:13" ht="12.12" thickBot="1" customHeight="1">
      <c r="A29" s="28"/>
      <c r="B29" s="28"/>
      <c r="C29" s="28"/>
      <c r="D29" s="26" t="s">
        <v>83</v>
      </c>
      <c r="E29" s="26"/>
      <c r="F29" s="26"/>
      <c r="G29" s="26"/>
      <c r="H29" s="26"/>
      <c r="I29" s="26"/>
      <c r="J29" s="26"/>
      <c r="K29" s="26"/>
      <c r="L29" s="26"/>
      <c r="M29" s="26"/>
    </row>
    <row r="30" spans="1:13" ht="15.12" thickBot="1" customHeight="1">
      <c r="A30" s="28"/>
      <c r="B30" s="28"/>
      <c r="C30" s="28"/>
      <c r="D30" s="28"/>
      <c r="E30" s="29"/>
      <c r="F30" s="31" t="s">
        <v>84</v>
      </c>
      <c r="G30" s="31" t="s">
        <v>85</v>
      </c>
      <c r="H30" s="31" t="s">
        <v>86</v>
      </c>
      <c r="I30" s="31" t="s">
        <v>87</v>
      </c>
      <c r="J30" s="31" t="s">
        <v>88</v>
      </c>
      <c r="K30" s="31" t="s">
        <v>89</v>
      </c>
      <c r="L30" s="28"/>
      <c r="M30" s="28"/>
    </row>
    <row r="31" spans="1:13" ht="39.84" thickBot="1" customHeight="1">
      <c r="A31" s="28"/>
      <c r="B31" s="28"/>
      <c r="C31" s="28"/>
      <c r="D31" s="32"/>
      <c r="E31" s="33" t="s">
        <v>90</v>
      </c>
      <c r="F31" s="34">
        <v>438.6</v>
      </c>
      <c r="G31" s="35"/>
      <c r="H31" s="35"/>
      <c r="I31" s="35"/>
      <c r="J31" s="37">
        <f ca="1">ROUND(F31,2)</f>
        <v>0</v>
      </c>
      <c r="K31" s="39">
        <f ca="1">SUM(J31:J31)</f>
        <v>0</v>
      </c>
      <c r="L31" s="28"/>
      <c r="M31" s="28"/>
    </row>
    <row r="32" spans="1:13" ht="15.48" thickBot="1" customHeight="1">
      <c r="A32" s="41"/>
      <c r="B32" s="41"/>
      <c r="C32" s="41"/>
      <c r="D32" s="42" t="s">
        <v>91</v>
      </c>
      <c r="E32" s="43"/>
      <c r="F32" s="43"/>
      <c r="G32" s="43"/>
      <c r="H32" s="43"/>
      <c r="I32" s="43"/>
      <c r="J32" s="43"/>
      <c r="K32" s="43"/>
      <c r="L32" s="44">
        <f ca="1">M6+M10+M14+M19+M24+M28</f>
        <v>0</v>
      </c>
      <c r="M32" s="44">
        <f ca="1">ROUND(L32,2)</f>
        <v>0</v>
      </c>
    </row>
    <row r="33" spans="1:13" ht="15.48" thickBot="1" customHeight="1">
      <c r="A33" s="45" t="s">
        <v>92</v>
      </c>
      <c r="B33" s="45" t="s">
        <v>93</v>
      </c>
      <c r="C33" s="46"/>
      <c r="D33" s="47" t="s">
        <v>94</v>
      </c>
      <c r="E33" s="47"/>
      <c r="F33" s="47"/>
      <c r="G33" s="47"/>
      <c r="H33" s="47"/>
      <c r="I33" s="47"/>
      <c r="J33" s="47"/>
      <c r="K33" s="46"/>
      <c r="L33" s="48">
        <f ca="1">L57</f>
        <v>0</v>
      </c>
      <c r="M33" s="48">
        <f ca="1">ROUND(L33,2)</f>
        <v>0</v>
      </c>
    </row>
    <row r="34" spans="1:13" ht="15.48" thickBot="1" customHeight="1">
      <c r="A34" s="15" t="s">
        <v>95</v>
      </c>
      <c r="B34" s="8" t="s">
        <v>96</v>
      </c>
      <c r="C34" s="8" t="s">
        <v>97</v>
      </c>
      <c r="D34" s="26" t="s">
        <v>98</v>
      </c>
      <c r="E34" s="26"/>
      <c r="F34" s="26"/>
      <c r="G34" s="26"/>
      <c r="H34" s="26"/>
      <c r="I34" s="26"/>
      <c r="J34" s="26"/>
      <c r="K34" s="27">
        <f ca="1">SUM(K37:K38)</f>
        <v>0</v>
      </c>
      <c r="L34" s="27">
        <f ca="1">ROUND(3.20*(1+M2/100),2)</f>
        <v>0</v>
      </c>
      <c r="M34" s="27">
        <f ca="1">ROUND(K34*L34,2)</f>
        <v>0</v>
      </c>
    </row>
    <row r="35" spans="1:13" ht="21.36" thickBot="1" customHeight="1">
      <c r="A35" s="28"/>
      <c r="B35" s="28"/>
      <c r="C35" s="28"/>
      <c r="D35" s="26" t="s">
        <v>99</v>
      </c>
      <c r="E35" s="26"/>
      <c r="F35" s="26"/>
      <c r="G35" s="26"/>
      <c r="H35" s="26"/>
      <c r="I35" s="26"/>
      <c r="J35" s="26"/>
      <c r="K35" s="26"/>
      <c r="L35" s="26"/>
      <c r="M35" s="26"/>
    </row>
    <row r="36" spans="1:13" ht="15.12" thickBot="1" customHeight="1">
      <c r="A36" s="28"/>
      <c r="B36" s="28"/>
      <c r="C36" s="28"/>
      <c r="D36" s="28"/>
      <c r="E36" s="29"/>
      <c r="F36" s="31" t="s">
        <v>100</v>
      </c>
      <c r="G36" s="31" t="s">
        <v>101</v>
      </c>
      <c r="H36" s="31" t="s">
        <v>102</v>
      </c>
      <c r="I36" s="31" t="s">
        <v>103</v>
      </c>
      <c r="J36" s="31" t="s">
        <v>104</v>
      </c>
      <c r="K36" s="31" t="s">
        <v>105</v>
      </c>
      <c r="L36" s="28"/>
      <c r="M36" s="28"/>
    </row>
    <row r="37" spans="1:13" ht="15.12" thickBot="1" customHeight="1">
      <c r="A37" s="28"/>
      <c r="B37" s="28"/>
      <c r="C37" s="28"/>
      <c r="D37" s="32"/>
      <c r="E37" s="33" t="s">
        <v>106</v>
      </c>
      <c r="F37" s="34">
        <v>4</v>
      </c>
      <c r="G37" s="35"/>
      <c r="H37" s="35"/>
      <c r="I37" s="35"/>
      <c r="J37" s="37">
        <f ca="1">ROUND(F37,2)</f>
        <v>0</v>
      </c>
      <c r="K37" s="40"/>
      <c r="L37" s="28"/>
      <c r="M37" s="28"/>
    </row>
    <row r="38" spans="1:13" ht="15.12" thickBot="1" customHeight="1">
      <c r="A38" s="28"/>
      <c r="B38" s="28"/>
      <c r="C38" s="28"/>
      <c r="D38" s="32"/>
      <c r="E38" s="8" t="s">
        <v>107</v>
      </c>
      <c r="F38" s="6">
        <v>4</v>
      </c>
      <c r="G38" s="27"/>
      <c r="H38" s="27"/>
      <c r="I38" s="27"/>
      <c r="J38" s="36">
        <f ca="1">ROUND(F38,2)</f>
        <v>0</v>
      </c>
      <c r="K38" s="38">
        <f ca="1">SUM(J37:J38)</f>
        <v>0</v>
      </c>
      <c r="L38" s="28"/>
      <c r="M38" s="28"/>
    </row>
    <row r="39" spans="1:13" ht="15.48" thickBot="1" customHeight="1">
      <c r="A39" s="15" t="s">
        <v>108</v>
      </c>
      <c r="B39" s="8" t="s">
        <v>109</v>
      </c>
      <c r="C39" s="8" t="s">
        <v>110</v>
      </c>
      <c r="D39" s="26" t="s">
        <v>111</v>
      </c>
      <c r="E39" s="26"/>
      <c r="F39" s="26"/>
      <c r="G39" s="26"/>
      <c r="H39" s="26"/>
      <c r="I39" s="26"/>
      <c r="J39" s="26"/>
      <c r="K39" s="27">
        <f ca="1">SUM(K42:K42)</f>
        <v>0</v>
      </c>
      <c r="L39" s="27">
        <f ca="1">ROUND(9.82*(1+M2/100),2)</f>
        <v>0</v>
      </c>
      <c r="M39" s="27">
        <f ca="1">ROUND(K39*L39,2)</f>
        <v>0</v>
      </c>
    </row>
    <row r="40" spans="1:13" ht="21.36" thickBot="1" customHeight="1">
      <c r="A40" s="28"/>
      <c r="B40" s="28"/>
      <c r="C40" s="28"/>
      <c r="D40" s="26" t="s">
        <v>112</v>
      </c>
      <c r="E40" s="26"/>
      <c r="F40" s="26"/>
      <c r="G40" s="26"/>
      <c r="H40" s="26"/>
      <c r="I40" s="26"/>
      <c r="J40" s="26"/>
      <c r="K40" s="26"/>
      <c r="L40" s="26"/>
      <c r="M40" s="26"/>
    </row>
    <row r="41" spans="1:13" ht="15.12" thickBot="1" customHeight="1">
      <c r="A41" s="28"/>
      <c r="B41" s="28"/>
      <c r="C41" s="28"/>
      <c r="D41" s="28"/>
      <c r="E41" s="29"/>
      <c r="F41" s="31" t="s">
        <v>113</v>
      </c>
      <c r="G41" s="31" t="s">
        <v>114</v>
      </c>
      <c r="H41" s="31" t="s">
        <v>115</v>
      </c>
      <c r="I41" s="31" t="s">
        <v>116</v>
      </c>
      <c r="J41" s="31" t="s">
        <v>117</v>
      </c>
      <c r="K41" s="31" t="s">
        <v>118</v>
      </c>
      <c r="L41" s="28"/>
      <c r="M41" s="28"/>
    </row>
    <row r="42" spans="1:13" ht="30.60" thickBot="1" customHeight="1">
      <c r="A42" s="28"/>
      <c r="B42" s="28"/>
      <c r="C42" s="28"/>
      <c r="D42" s="32"/>
      <c r="E42" s="33" t="s">
        <v>119</v>
      </c>
      <c r="F42" s="34">
        <v>4</v>
      </c>
      <c r="G42" s="35">
        <v>1.20</v>
      </c>
      <c r="H42" s="35"/>
      <c r="I42" s="35"/>
      <c r="J42" s="37">
        <f ca="1">ROUND(F42*G42,2)</f>
        <v>0</v>
      </c>
      <c r="K42" s="39">
        <f ca="1">SUM(J42:J42)</f>
        <v>0</v>
      </c>
      <c r="L42" s="28"/>
      <c r="M42" s="28"/>
    </row>
    <row r="43" spans="1:13" ht="30.60" thickBot="1" customHeight="1">
      <c r="A43" s="15" t="s">
        <v>120</v>
      </c>
      <c r="B43" s="8" t="s">
        <v>121</v>
      </c>
      <c r="C43" s="8" t="s">
        <v>122</v>
      </c>
      <c r="D43" s="26" t="s">
        <v>123</v>
      </c>
      <c r="E43" s="26"/>
      <c r="F43" s="26"/>
      <c r="G43" s="26"/>
      <c r="H43" s="26"/>
      <c r="I43" s="26"/>
      <c r="J43" s="26"/>
      <c r="K43" s="27">
        <f ca="1">SUM(K46:K47)</f>
        <v>0</v>
      </c>
      <c r="L43" s="27">
        <f ca="1">ROUND(108.41*(1+M2/100),2)</f>
        <v>0</v>
      </c>
      <c r="M43" s="27">
        <f ca="1">ROUND(K43*L43,2)</f>
        <v>0</v>
      </c>
    </row>
    <row r="44" spans="1:13" ht="49.08" thickBot="1" customHeight="1">
      <c r="A44" s="28"/>
      <c r="B44" s="28"/>
      <c r="C44" s="28"/>
      <c r="D44" s="26" t="s">
        <v>124</v>
      </c>
      <c r="E44" s="26"/>
      <c r="F44" s="26"/>
      <c r="G44" s="26"/>
      <c r="H44" s="26"/>
      <c r="I44" s="26"/>
      <c r="J44" s="26"/>
      <c r="K44" s="26"/>
      <c r="L44" s="26"/>
      <c r="M44" s="26"/>
    </row>
    <row r="45" spans="1:13" ht="15.12" thickBot="1" customHeight="1">
      <c r="A45" s="28"/>
      <c r="B45" s="28"/>
      <c r="C45" s="28"/>
      <c r="D45" s="28"/>
      <c r="E45" s="29"/>
      <c r="F45" s="31" t="s">
        <v>125</v>
      </c>
      <c r="G45" s="31" t="s">
        <v>126</v>
      </c>
      <c r="H45" s="31" t="s">
        <v>127</v>
      </c>
      <c r="I45" s="31" t="s">
        <v>128</v>
      </c>
      <c r="J45" s="31" t="s">
        <v>129</v>
      </c>
      <c r="K45" s="31" t="s">
        <v>130</v>
      </c>
      <c r="L45" s="28"/>
      <c r="M45" s="28"/>
    </row>
    <row r="46" spans="1:13" ht="15.12" thickBot="1" customHeight="1">
      <c r="A46" s="28"/>
      <c r="B46" s="28"/>
      <c r="C46" s="28"/>
      <c r="D46" s="32"/>
      <c r="E46" s="33" t="s">
        <v>131</v>
      </c>
      <c r="F46" s="34"/>
      <c r="G46" s="35">
        <v>3.20</v>
      </c>
      <c r="H46" s="35"/>
      <c r="I46" s="35"/>
      <c r="J46" s="37">
        <f ca="1">ROUND(G46,2)</f>
        <v>0</v>
      </c>
      <c r="K46" s="40"/>
      <c r="L46" s="28"/>
      <c r="M46" s="28"/>
    </row>
    <row r="47" spans="1:13" ht="15.12" thickBot="1" customHeight="1">
      <c r="A47" s="28"/>
      <c r="B47" s="28"/>
      <c r="C47" s="28"/>
      <c r="D47" s="32"/>
      <c r="E47" s="8" t="s">
        <v>132</v>
      </c>
      <c r="F47" s="6"/>
      <c r="G47" s="27">
        <v>3.20</v>
      </c>
      <c r="H47" s="27"/>
      <c r="I47" s="27"/>
      <c r="J47" s="36">
        <f ca="1">ROUND(G47,2)</f>
        <v>0</v>
      </c>
      <c r="K47" s="38">
        <f ca="1">SUM(J46:J47)</f>
        <v>0</v>
      </c>
      <c r="L47" s="28"/>
      <c r="M47" s="28"/>
    </row>
    <row r="48" spans="1:13" ht="30.60" thickBot="1" customHeight="1">
      <c r="A48" s="15" t="s">
        <v>133</v>
      </c>
      <c r="B48" s="8" t="s">
        <v>134</v>
      </c>
      <c r="C48" s="8" t="s">
        <v>135</v>
      </c>
      <c r="D48" s="26" t="s">
        <v>136</v>
      </c>
      <c r="E48" s="26"/>
      <c r="F48" s="26"/>
      <c r="G48" s="26"/>
      <c r="H48" s="26"/>
      <c r="I48" s="26"/>
      <c r="J48" s="26"/>
      <c r="K48" s="27">
        <f ca="1">SUM(K51:K52)</f>
        <v>0</v>
      </c>
      <c r="L48" s="27">
        <f ca="1">ROUND(158.75*(1+M2/100),2)</f>
        <v>0</v>
      </c>
      <c r="M48" s="27">
        <f ca="1">ROUND(K48*L48,2)</f>
        <v>0</v>
      </c>
    </row>
    <row r="49" spans="1:13" ht="39.84" thickBot="1" customHeight="1">
      <c r="A49" s="28"/>
      <c r="B49" s="28"/>
      <c r="C49" s="28"/>
      <c r="D49" s="26" t="s">
        <v>137</v>
      </c>
      <c r="E49" s="26"/>
      <c r="F49" s="26"/>
      <c r="G49" s="26"/>
      <c r="H49" s="26"/>
      <c r="I49" s="26"/>
      <c r="J49" s="26"/>
      <c r="K49" s="26"/>
      <c r="L49" s="26"/>
      <c r="M49" s="26"/>
    </row>
    <row r="50" spans="1:13" ht="15.12" thickBot="1" customHeight="1">
      <c r="A50" s="28"/>
      <c r="B50" s="28"/>
      <c r="C50" s="28"/>
      <c r="D50" s="28"/>
      <c r="E50" s="29"/>
      <c r="F50" s="31" t="s">
        <v>138</v>
      </c>
      <c r="G50" s="31" t="s">
        <v>139</v>
      </c>
      <c r="H50" s="31" t="s">
        <v>140</v>
      </c>
      <c r="I50" s="31" t="s">
        <v>141</v>
      </c>
      <c r="J50" s="31" t="s">
        <v>142</v>
      </c>
      <c r="K50" s="31" t="s">
        <v>143</v>
      </c>
      <c r="L50" s="28"/>
      <c r="M50" s="28"/>
    </row>
    <row r="51" spans="1:13" ht="15.12" thickBot="1" customHeight="1">
      <c r="A51" s="28"/>
      <c r="B51" s="28"/>
      <c r="C51" s="28"/>
      <c r="D51" s="32"/>
      <c r="E51" s="33" t="s">
        <v>144</v>
      </c>
      <c r="F51" s="34">
        <v>2</v>
      </c>
      <c r="G51" s="35"/>
      <c r="H51" s="35"/>
      <c r="I51" s="35"/>
      <c r="J51" s="37">
        <f ca="1">ROUND(F51,2)</f>
        <v>0</v>
      </c>
      <c r="K51" s="40"/>
      <c r="L51" s="28"/>
      <c r="M51" s="28"/>
    </row>
    <row r="52" spans="1:13" ht="15.12" thickBot="1" customHeight="1">
      <c r="A52" s="28"/>
      <c r="B52" s="28"/>
      <c r="C52" s="28"/>
      <c r="D52" s="32"/>
      <c r="E52" s="8" t="s">
        <v>145</v>
      </c>
      <c r="F52" s="6">
        <v>2</v>
      </c>
      <c r="G52" s="27"/>
      <c r="H52" s="27"/>
      <c r="I52" s="27"/>
      <c r="J52" s="36">
        <f ca="1">ROUND(F52,2)</f>
        <v>0</v>
      </c>
      <c r="K52" s="38">
        <f ca="1">SUM(J51:J52)</f>
        <v>0</v>
      </c>
      <c r="L52" s="28"/>
      <c r="M52" s="28"/>
    </row>
    <row r="53" spans="1:13" ht="15.48" thickBot="1" customHeight="1">
      <c r="A53" s="15" t="s">
        <v>146</v>
      </c>
      <c r="B53" s="8" t="s">
        <v>147</v>
      </c>
      <c r="C53" s="8" t="s">
        <v>148</v>
      </c>
      <c r="D53" s="26" t="s">
        <v>149</v>
      </c>
      <c r="E53" s="26"/>
      <c r="F53" s="26"/>
      <c r="G53" s="26"/>
      <c r="H53" s="26"/>
      <c r="I53" s="26"/>
      <c r="J53" s="26"/>
      <c r="K53" s="27">
        <f ca="1">SUM(K56:K56)</f>
        <v>0</v>
      </c>
      <c r="L53" s="27">
        <f ca="1">ROUND(30.30*(1+M2/100),2)</f>
        <v>0</v>
      </c>
      <c r="M53" s="27">
        <f ca="1">ROUND(K53*L53,2)</f>
        <v>0</v>
      </c>
    </row>
    <row r="54" spans="1:13" ht="21.36" thickBot="1" customHeight="1">
      <c r="A54" s="28"/>
      <c r="B54" s="28"/>
      <c r="C54" s="28"/>
      <c r="D54" s="26" t="s">
        <v>150</v>
      </c>
      <c r="E54" s="26"/>
      <c r="F54" s="26"/>
      <c r="G54" s="26"/>
      <c r="H54" s="26"/>
      <c r="I54" s="26"/>
      <c r="J54" s="26"/>
      <c r="K54" s="26"/>
      <c r="L54" s="26"/>
      <c r="M54" s="26"/>
    </row>
    <row r="55" spans="1:13" ht="15.12" thickBot="1" customHeight="1">
      <c r="A55" s="28"/>
      <c r="B55" s="28"/>
      <c r="C55" s="28"/>
      <c r="D55" s="28"/>
      <c r="E55" s="29"/>
      <c r="F55" s="31" t="s">
        <v>151</v>
      </c>
      <c r="G55" s="31" t="s">
        <v>152</v>
      </c>
      <c r="H55" s="31" t="s">
        <v>153</v>
      </c>
      <c r="I55" s="31" t="s">
        <v>154</v>
      </c>
      <c r="J55" s="31" t="s">
        <v>155</v>
      </c>
      <c r="K55" s="31" t="s">
        <v>156</v>
      </c>
      <c r="L55" s="28"/>
      <c r="M55" s="28"/>
    </row>
    <row r="56" spans="1:13" ht="21.36" thickBot="1" customHeight="1">
      <c r="A56" s="28"/>
      <c r="B56" s="28"/>
      <c r="C56" s="28"/>
      <c r="D56" s="32"/>
      <c r="E56" s="33" t="s">
        <v>157</v>
      </c>
      <c r="F56" s="34"/>
      <c r="G56" s="35">
        <v>4.00</v>
      </c>
      <c r="H56" s="35"/>
      <c r="I56" s="35"/>
      <c r="J56" s="37">
        <f ca="1">ROUND(G56,2)</f>
        <v>0</v>
      </c>
      <c r="K56" s="39">
        <f ca="1">SUM(J56:J56)</f>
        <v>0</v>
      </c>
      <c r="L56" s="28"/>
      <c r="M56" s="28"/>
    </row>
    <row r="57" spans="1:13" ht="15.48" thickBot="1" customHeight="1">
      <c r="A57" s="41"/>
      <c r="B57" s="41"/>
      <c r="C57" s="41"/>
      <c r="D57" s="42" t="s">
        <v>158</v>
      </c>
      <c r="E57" s="43"/>
      <c r="F57" s="43"/>
      <c r="G57" s="43"/>
      <c r="H57" s="43"/>
      <c r="I57" s="43"/>
      <c r="J57" s="43"/>
      <c r="K57" s="43"/>
      <c r="L57" s="44">
        <f ca="1">M34+M39+M43+M48+M53</f>
        <v>0</v>
      </c>
      <c r="M57" s="44">
        <f ca="1">ROUND(L57,2)</f>
        <v>0</v>
      </c>
    </row>
    <row r="58" spans="1:13" ht="15.48" thickBot="1" customHeight="1">
      <c r="A58" s="45" t="s">
        <v>159</v>
      </c>
      <c r="B58" s="45" t="s">
        <v>160</v>
      </c>
      <c r="C58" s="46"/>
      <c r="D58" s="47" t="s">
        <v>161</v>
      </c>
      <c r="E58" s="47"/>
      <c r="F58" s="47"/>
      <c r="G58" s="47"/>
      <c r="H58" s="47"/>
      <c r="I58" s="47"/>
      <c r="J58" s="47"/>
      <c r="K58" s="46"/>
      <c r="L58" s="48">
        <f ca="1">L84</f>
        <v>0</v>
      </c>
      <c r="M58" s="48">
        <f ca="1">ROUND(L58,2)</f>
        <v>0</v>
      </c>
    </row>
    <row r="59" spans="1:13" ht="15.48" thickBot="1" customHeight="1">
      <c r="A59" s="15" t="s">
        <v>162</v>
      </c>
      <c r="B59" s="8" t="s">
        <v>163</v>
      </c>
      <c r="C59" s="8" t="s">
        <v>164</v>
      </c>
      <c r="D59" s="26" t="s">
        <v>165</v>
      </c>
      <c r="E59" s="26"/>
      <c r="F59" s="26"/>
      <c r="G59" s="26"/>
      <c r="H59" s="26"/>
      <c r="I59" s="26"/>
      <c r="J59" s="26"/>
      <c r="K59" s="27">
        <f ca="1">SUM(K62:K62)</f>
        <v>0</v>
      </c>
      <c r="L59" s="27">
        <f ca="1">ROUND(3.90*(1+M2/100),2)</f>
        <v>0</v>
      </c>
      <c r="M59" s="27">
        <f ca="1">ROUND(K59*L59,2)</f>
        <v>0</v>
      </c>
    </row>
    <row r="60" spans="1:13" ht="12.12" thickBot="1" customHeight="1">
      <c r="A60" s="28"/>
      <c r="B60" s="28"/>
      <c r="C60" s="28"/>
      <c r="D60" s="26" t="s">
        <v>166</v>
      </c>
      <c r="E60" s="26"/>
      <c r="F60" s="26"/>
      <c r="G60" s="26"/>
      <c r="H60" s="26"/>
      <c r="I60" s="26"/>
      <c r="J60" s="26"/>
      <c r="K60" s="26"/>
      <c r="L60" s="26"/>
      <c r="M60" s="26"/>
    </row>
    <row r="61" spans="1:13" ht="15.12" thickBot="1" customHeight="1">
      <c r="A61" s="28"/>
      <c r="B61" s="28"/>
      <c r="C61" s="28"/>
      <c r="D61" s="28"/>
      <c r="E61" s="29"/>
      <c r="F61" s="31" t="s">
        <v>167</v>
      </c>
      <c r="G61" s="31" t="s">
        <v>168</v>
      </c>
      <c r="H61" s="31" t="s">
        <v>169</v>
      </c>
      <c r="I61" s="31" t="s">
        <v>170</v>
      </c>
      <c r="J61" s="31" t="s">
        <v>171</v>
      </c>
      <c r="K61" s="31" t="s">
        <v>172</v>
      </c>
      <c r="L61" s="28"/>
      <c r="M61" s="28"/>
    </row>
    <row r="62" spans="1:13" ht="21.36" thickBot="1" customHeight="1">
      <c r="A62" s="28"/>
      <c r="B62" s="28"/>
      <c r="C62" s="28"/>
      <c r="D62" s="32"/>
      <c r="E62" s="33" t="s">
        <v>173</v>
      </c>
      <c r="F62" s="34">
        <v>731</v>
      </c>
      <c r="G62" s="35"/>
      <c r="H62" s="35"/>
      <c r="I62" s="35"/>
      <c r="J62" s="37">
        <f ca="1">ROUND(F62,2)</f>
        <v>0</v>
      </c>
      <c r="K62" s="39">
        <f ca="1">SUM(J62:J62)</f>
        <v>0</v>
      </c>
      <c r="L62" s="28"/>
      <c r="M62" s="28"/>
    </row>
    <row r="63" spans="1:13" ht="15.48" thickBot="1" customHeight="1">
      <c r="A63" s="15" t="s">
        <v>174</v>
      </c>
      <c r="B63" s="8" t="s">
        <v>175</v>
      </c>
      <c r="C63" s="8" t="s">
        <v>176</v>
      </c>
      <c r="D63" s="26" t="s">
        <v>177</v>
      </c>
      <c r="E63" s="26"/>
      <c r="F63" s="26"/>
      <c r="G63" s="26"/>
      <c r="H63" s="26"/>
      <c r="I63" s="26"/>
      <c r="J63" s="26"/>
      <c r="K63" s="27">
        <f ca="1">SUM(K66:K67)</f>
        <v>0</v>
      </c>
      <c r="L63" s="27">
        <f ca="1">ROUND(31.19*(1+M2/100),2)</f>
        <v>0</v>
      </c>
      <c r="M63" s="27">
        <f ca="1">ROUND(K63*L63,2)</f>
        <v>0</v>
      </c>
    </row>
    <row r="64" spans="1:13" ht="30.60" thickBot="1" customHeight="1">
      <c r="A64" s="28"/>
      <c r="B64" s="28"/>
      <c r="C64" s="28"/>
      <c r="D64" s="26" t="s">
        <v>178</v>
      </c>
      <c r="E64" s="26"/>
      <c r="F64" s="26"/>
      <c r="G64" s="26"/>
      <c r="H64" s="26"/>
      <c r="I64" s="26"/>
      <c r="J64" s="26"/>
      <c r="K64" s="26"/>
      <c r="L64" s="26"/>
      <c r="M64" s="26"/>
    </row>
    <row r="65" spans="1:13" ht="15.12" thickBot="1" customHeight="1">
      <c r="A65" s="28"/>
      <c r="B65" s="28"/>
      <c r="C65" s="28"/>
      <c r="D65" s="28"/>
      <c r="E65" s="29"/>
      <c r="F65" s="31" t="s">
        <v>179</v>
      </c>
      <c r="G65" s="31" t="s">
        <v>180</v>
      </c>
      <c r="H65" s="31" t="s">
        <v>181</v>
      </c>
      <c r="I65" s="31" t="s">
        <v>182</v>
      </c>
      <c r="J65" s="31" t="s">
        <v>183</v>
      </c>
      <c r="K65" s="31" t="s">
        <v>184</v>
      </c>
      <c r="L65" s="28"/>
      <c r="M65" s="28"/>
    </row>
    <row r="66" spans="1:13" ht="30.60" thickBot="1" customHeight="1">
      <c r="A66" s="28"/>
      <c r="B66" s="28"/>
      <c r="C66" s="28"/>
      <c r="D66" s="32"/>
      <c r="E66" s="33" t="s">
        <v>185</v>
      </c>
      <c r="F66" s="34"/>
      <c r="G66" s="35">
        <v>20.50</v>
      </c>
      <c r="H66" s="35">
        <v>3.00</v>
      </c>
      <c r="I66" s="35"/>
      <c r="J66" s="37">
        <f ca="1">ROUND(G66*H66,2)</f>
        <v>0</v>
      </c>
      <c r="K66" s="40"/>
      <c r="L66" s="28"/>
      <c r="M66" s="28"/>
    </row>
    <row r="67" spans="1:13" ht="21.36" thickBot="1" customHeight="1">
      <c r="A67" s="28"/>
      <c r="B67" s="28"/>
      <c r="C67" s="28"/>
      <c r="D67" s="32"/>
      <c r="E67" s="8" t="s">
        <v>186</v>
      </c>
      <c r="F67" s="6"/>
      <c r="G67" s="27">
        <v>22.50</v>
      </c>
      <c r="H67" s="27">
        <v>3.50</v>
      </c>
      <c r="I67" s="27"/>
      <c r="J67" s="36">
        <f ca="1">ROUND(G67*H67,2)</f>
        <v>0</v>
      </c>
      <c r="K67" s="38">
        <f ca="1">SUM(J66:J67)</f>
        <v>0</v>
      </c>
      <c r="L67" s="28"/>
      <c r="M67" s="28"/>
    </row>
    <row r="68" spans="1:13" ht="15.48" thickBot="1" customHeight="1">
      <c r="A68" s="15" t="s">
        <v>187</v>
      </c>
      <c r="B68" s="8" t="s">
        <v>188</v>
      </c>
      <c r="C68" s="8" t="s">
        <v>189</v>
      </c>
      <c r="D68" s="26" t="s">
        <v>190</v>
      </c>
      <c r="E68" s="26"/>
      <c r="F68" s="26"/>
      <c r="G68" s="26"/>
      <c r="H68" s="26"/>
      <c r="I68" s="26"/>
      <c r="J68" s="26"/>
      <c r="K68" s="27">
        <f ca="1">SUM(K71:K73)</f>
        <v>0</v>
      </c>
      <c r="L68" s="27">
        <f ca="1">ROUND(73.08*(1+M2/100),2)</f>
        <v>0</v>
      </c>
      <c r="M68" s="27">
        <f ca="1">ROUND(K68*L68,2)</f>
        <v>0</v>
      </c>
    </row>
    <row r="69" spans="1:13" ht="12.12" thickBot="1" customHeight="1">
      <c r="A69" s="28"/>
      <c r="B69" s="28"/>
      <c r="C69" s="28"/>
      <c r="D69" s="26" t="s">
        <v>191</v>
      </c>
      <c r="E69" s="26"/>
      <c r="F69" s="26"/>
      <c r="G69" s="26"/>
      <c r="H69" s="26"/>
      <c r="I69" s="26"/>
      <c r="J69" s="26"/>
      <c r="K69" s="26"/>
      <c r="L69" s="26"/>
      <c r="M69" s="26"/>
    </row>
    <row r="70" spans="1:13" ht="15.12" thickBot="1" customHeight="1">
      <c r="A70" s="28"/>
      <c r="B70" s="28"/>
      <c r="C70" s="28"/>
      <c r="D70" s="28"/>
      <c r="E70" s="29"/>
      <c r="F70" s="31" t="s">
        <v>192</v>
      </c>
      <c r="G70" s="31" t="s">
        <v>193</v>
      </c>
      <c r="H70" s="31" t="s">
        <v>194</v>
      </c>
      <c r="I70" s="31" t="s">
        <v>195</v>
      </c>
      <c r="J70" s="31" t="s">
        <v>196</v>
      </c>
      <c r="K70" s="31" t="s">
        <v>197</v>
      </c>
      <c r="L70" s="28"/>
      <c r="M70" s="28"/>
    </row>
    <row r="71" spans="1:13" ht="21.36" thickBot="1" customHeight="1">
      <c r="A71" s="28"/>
      <c r="B71" s="28"/>
      <c r="C71" s="28"/>
      <c r="D71" s="32"/>
      <c r="E71" s="33" t="s">
        <v>198</v>
      </c>
      <c r="F71" s="34"/>
      <c r="G71" s="35"/>
      <c r="H71" s="35"/>
      <c r="I71" s="35"/>
      <c r="J71" s="49" t="s">
        <v>199</v>
      </c>
      <c r="K71" s="40"/>
      <c r="L71" s="28"/>
      <c r="M71" s="28"/>
    </row>
    <row r="72" spans="1:13" ht="15.12" thickBot="1" customHeight="1">
      <c r="A72" s="28"/>
      <c r="B72" s="28"/>
      <c r="C72" s="28"/>
      <c r="D72" s="32"/>
      <c r="E72" s="8"/>
      <c r="F72" s="6">
        <v>2</v>
      </c>
      <c r="G72" s="27">
        <v>23.50</v>
      </c>
      <c r="H72" s="27">
        <v>1.00</v>
      </c>
      <c r="I72" s="27">
        <v>0.20</v>
      </c>
      <c r="J72" s="36">
        <f ca="1">ROUND(F72*G72*H72*I72,2)</f>
        <v>0</v>
      </c>
      <c r="K72" s="28"/>
      <c r="L72" s="28"/>
      <c r="M72" s="28"/>
    </row>
    <row r="73" spans="1:13" ht="15.12" thickBot="1" customHeight="1">
      <c r="A73" s="28"/>
      <c r="B73" s="28"/>
      <c r="C73" s="28"/>
      <c r="D73" s="32"/>
      <c r="E73" s="8"/>
      <c r="F73" s="6">
        <v>1</v>
      </c>
      <c r="G73" s="27">
        <v>15.00</v>
      </c>
      <c r="H73" s="27">
        <v>1.00</v>
      </c>
      <c r="I73" s="27">
        <v>0.20</v>
      </c>
      <c r="J73" s="36">
        <f ca="1">ROUND(F73*G73*H73*I73,2)</f>
        <v>0</v>
      </c>
      <c r="K73" s="38">
        <f ca="1">SUM(J71:J73)</f>
        <v>0</v>
      </c>
      <c r="L73" s="28"/>
      <c r="M73" s="28"/>
    </row>
    <row r="74" spans="1:13" ht="21.36" thickBot="1" customHeight="1">
      <c r="A74" s="15" t="s">
        <v>200</v>
      </c>
      <c r="B74" s="8" t="s">
        <v>201</v>
      </c>
      <c r="C74" s="8" t="s">
        <v>202</v>
      </c>
      <c r="D74" s="26" t="s">
        <v>203</v>
      </c>
      <c r="E74" s="26"/>
      <c r="F74" s="26"/>
      <c r="G74" s="26"/>
      <c r="H74" s="26"/>
      <c r="I74" s="26"/>
      <c r="J74" s="26"/>
      <c r="K74" s="27">
        <f ca="1">SUM(K77:K79)</f>
        <v>0</v>
      </c>
      <c r="L74" s="27">
        <f ca="1">ROUND(29.14*(1+M2/100),2)</f>
        <v>0</v>
      </c>
      <c r="M74" s="27">
        <f ca="1">ROUND(K74*L74,2)</f>
        <v>0</v>
      </c>
    </row>
    <row r="75" spans="1:13" ht="21.36" thickBot="1" customHeight="1">
      <c r="A75" s="28"/>
      <c r="B75" s="28"/>
      <c r="C75" s="28"/>
      <c r="D75" s="26" t="s">
        <v>204</v>
      </c>
      <c r="E75" s="26"/>
      <c r="F75" s="26"/>
      <c r="G75" s="26"/>
      <c r="H75" s="26"/>
      <c r="I75" s="26"/>
      <c r="J75" s="26"/>
      <c r="K75" s="26"/>
      <c r="L75" s="26"/>
      <c r="M75" s="26"/>
    </row>
    <row r="76" spans="1:13" ht="15.12" thickBot="1" customHeight="1">
      <c r="A76" s="28"/>
      <c r="B76" s="28"/>
      <c r="C76" s="28"/>
      <c r="D76" s="28"/>
      <c r="E76" s="29"/>
      <c r="F76" s="31" t="s">
        <v>205</v>
      </c>
      <c r="G76" s="31" t="s">
        <v>206</v>
      </c>
      <c r="H76" s="31" t="s">
        <v>207</v>
      </c>
      <c r="I76" s="31" t="s">
        <v>208</v>
      </c>
      <c r="J76" s="31" t="s">
        <v>209</v>
      </c>
      <c r="K76" s="31" t="s">
        <v>210</v>
      </c>
      <c r="L76" s="28"/>
      <c r="M76" s="28"/>
    </row>
    <row r="77" spans="1:13" ht="15.12" thickBot="1" customHeight="1">
      <c r="A77" s="28"/>
      <c r="B77" s="28"/>
      <c r="C77" s="28"/>
      <c r="D77" s="32" t="s">
        <v>211</v>
      </c>
      <c r="E77" s="33" t="s">
        <v>212</v>
      </c>
      <c r="F77" s="34"/>
      <c r="G77" s="35">
        <v>20.50</v>
      </c>
      <c r="H77" s="35">
        <v>3.00</v>
      </c>
      <c r="I77" s="35">
        <v>0.20</v>
      </c>
      <c r="J77" s="37">
        <f ca="1">ROUND((2*G77+2*H77)*I77,2)</f>
        <v>0</v>
      </c>
      <c r="K77" s="40"/>
      <c r="L77" s="28"/>
      <c r="M77" s="28"/>
    </row>
    <row r="78" spans="1:13" ht="15.12" thickBot="1" customHeight="1">
      <c r="A78" s="28"/>
      <c r="B78" s="28"/>
      <c r="C78" s="28"/>
      <c r="D78" s="32" t="s">
        <v>213</v>
      </c>
      <c r="E78" s="8" t="s">
        <v>214</v>
      </c>
      <c r="F78" s="6"/>
      <c r="G78" s="27">
        <v>22.50</v>
      </c>
      <c r="H78" s="27">
        <v>3.50</v>
      </c>
      <c r="I78" s="27">
        <v>0.20</v>
      </c>
      <c r="J78" s="36">
        <f ca="1">ROUND((2*G78+2*H78)*I78,2)</f>
        <v>0</v>
      </c>
      <c r="K78" s="28"/>
      <c r="L78" s="28"/>
      <c r="M78" s="28"/>
    </row>
    <row r="79" spans="1:13" ht="21.36" thickBot="1" customHeight="1">
      <c r="A79" s="28"/>
      <c r="B79" s="28"/>
      <c r="C79" s="28"/>
      <c r="D79" s="32" t="s">
        <v>215</v>
      </c>
      <c r="E79" s="8" t="s">
        <v>216</v>
      </c>
      <c r="F79" s="6"/>
      <c r="G79" s="27">
        <v>23.50</v>
      </c>
      <c r="H79" s="27">
        <v>15.00</v>
      </c>
      <c r="I79" s="27">
        <v>0.20</v>
      </c>
      <c r="J79" s="36">
        <f ca="1">ROUND((2*G79+H79)*I79,2)</f>
        <v>0</v>
      </c>
      <c r="K79" s="38">
        <f ca="1">SUM(J77:J79)</f>
        <v>0</v>
      </c>
      <c r="L79" s="28"/>
      <c r="M79" s="28"/>
    </row>
    <row r="80" spans="1:13" ht="15.48" thickBot="1" customHeight="1">
      <c r="A80" s="15" t="s">
        <v>217</v>
      </c>
      <c r="B80" s="8" t="s">
        <v>218</v>
      </c>
      <c r="C80" s="8" t="s">
        <v>219</v>
      </c>
      <c r="D80" s="26" t="s">
        <v>220</v>
      </c>
      <c r="E80" s="26"/>
      <c r="F80" s="26"/>
      <c r="G80" s="26"/>
      <c r="H80" s="26"/>
      <c r="I80" s="26"/>
      <c r="J80" s="26"/>
      <c r="K80" s="27">
        <f ca="1">SUM(K83:K83)</f>
        <v>0</v>
      </c>
      <c r="L80" s="27">
        <f ca="1">ROUND(216.71*(1+M2/100),2)</f>
        <v>0</v>
      </c>
      <c r="M80" s="27">
        <f ca="1">ROUND(K80*L80,2)</f>
        <v>0</v>
      </c>
    </row>
    <row r="81" spans="1:13" ht="21.36" thickBot="1" customHeight="1">
      <c r="A81" s="28"/>
      <c r="B81" s="28"/>
      <c r="C81" s="28"/>
      <c r="D81" s="26" t="s">
        <v>221</v>
      </c>
      <c r="E81" s="26"/>
      <c r="F81" s="26"/>
      <c r="G81" s="26"/>
      <c r="H81" s="26"/>
      <c r="I81" s="26"/>
      <c r="J81" s="26"/>
      <c r="K81" s="26"/>
      <c r="L81" s="26"/>
      <c r="M81" s="26"/>
    </row>
    <row r="82" spans="1:13" ht="15.12" thickBot="1" customHeight="1">
      <c r="A82" s="28"/>
      <c r="B82" s="28"/>
      <c r="C82" s="28"/>
      <c r="D82" s="28"/>
      <c r="E82" s="29"/>
      <c r="F82" s="31" t="s">
        <v>222</v>
      </c>
      <c r="G82" s="31" t="s">
        <v>223</v>
      </c>
      <c r="H82" s="31" t="s">
        <v>224</v>
      </c>
      <c r="I82" s="31" t="s">
        <v>225</v>
      </c>
      <c r="J82" s="31" t="s">
        <v>226</v>
      </c>
      <c r="K82" s="31" t="s">
        <v>227</v>
      </c>
      <c r="L82" s="28"/>
      <c r="M82" s="28"/>
    </row>
    <row r="83" spans="1:13" ht="15.12" thickBot="1" customHeight="1">
      <c r="A83" s="28"/>
      <c r="B83" s="28"/>
      <c r="C83" s="28"/>
      <c r="D83" s="32"/>
      <c r="E83" s="33" t="s">
        <v>228</v>
      </c>
      <c r="F83" s="34">
        <v>5</v>
      </c>
      <c r="G83" s="35">
        <v>6.00</v>
      </c>
      <c r="H83" s="35">
        <v>0.40</v>
      </c>
      <c r="I83" s="35">
        <v>0.40</v>
      </c>
      <c r="J83" s="37">
        <f ca="1">ROUND(F83*G83*H83*I83,2)</f>
        <v>0</v>
      </c>
      <c r="K83" s="39">
        <f ca="1">SUM(J83:J83)</f>
        <v>0</v>
      </c>
      <c r="L83" s="28"/>
      <c r="M83" s="28"/>
    </row>
    <row r="84" spans="1:13" ht="15.48" thickBot="1" customHeight="1">
      <c r="A84" s="41"/>
      <c r="B84" s="41"/>
      <c r="C84" s="41"/>
      <c r="D84" s="42" t="s">
        <v>229</v>
      </c>
      <c r="E84" s="43"/>
      <c r="F84" s="43"/>
      <c r="G84" s="43"/>
      <c r="H84" s="43"/>
      <c r="I84" s="43"/>
      <c r="J84" s="43"/>
      <c r="K84" s="43"/>
      <c r="L84" s="44">
        <f ca="1">M59+M63+M68+M74+M80</f>
        <v>0</v>
      </c>
      <c r="M84" s="44">
        <f ca="1">ROUND(L84,2)</f>
        <v>0</v>
      </c>
    </row>
    <row r="85" spans="1:13" ht="15.48" thickBot="1" customHeight="1">
      <c r="A85" s="45" t="s">
        <v>230</v>
      </c>
      <c r="B85" s="45" t="s">
        <v>231</v>
      </c>
      <c r="C85" s="46"/>
      <c r="D85" s="47" t="s">
        <v>232</v>
      </c>
      <c r="E85" s="47"/>
      <c r="F85" s="47"/>
      <c r="G85" s="47"/>
      <c r="H85" s="47"/>
      <c r="I85" s="47"/>
      <c r="J85" s="47"/>
      <c r="K85" s="46"/>
      <c r="L85" s="48">
        <f ca="1">L109</f>
        <v>0</v>
      </c>
      <c r="M85" s="48">
        <f ca="1">ROUND(L85,2)</f>
        <v>0</v>
      </c>
    </row>
    <row r="86" spans="1:13" ht="15.48" thickBot="1" customHeight="1">
      <c r="A86" s="15" t="s">
        <v>233</v>
      </c>
      <c r="B86" s="8" t="s">
        <v>234</v>
      </c>
      <c r="C86" s="8" t="s">
        <v>235</v>
      </c>
      <c r="D86" s="26" t="s">
        <v>236</v>
      </c>
      <c r="E86" s="26"/>
      <c r="F86" s="26"/>
      <c r="G86" s="26"/>
      <c r="H86" s="26"/>
      <c r="I86" s="26"/>
      <c r="J86" s="26"/>
      <c r="K86" s="27">
        <f ca="1">SUM(K89:K90)</f>
        <v>0</v>
      </c>
      <c r="L86" s="27">
        <f ca="1">ROUND(27.02*(1+M2/100),2)</f>
        <v>0</v>
      </c>
      <c r="M86" s="27">
        <f ca="1">ROUND(K86*L86,2)</f>
        <v>0</v>
      </c>
    </row>
    <row r="87" spans="1:13" ht="49.08" thickBot="1" customHeight="1">
      <c r="A87" s="28"/>
      <c r="B87" s="28"/>
      <c r="C87" s="28"/>
      <c r="D87" s="26" t="s">
        <v>237</v>
      </c>
      <c r="E87" s="26"/>
      <c r="F87" s="26"/>
      <c r="G87" s="26"/>
      <c r="H87" s="26"/>
      <c r="I87" s="26"/>
      <c r="J87" s="26"/>
      <c r="K87" s="26"/>
      <c r="L87" s="26"/>
      <c r="M87" s="26"/>
    </row>
    <row r="88" spans="1:13" ht="15.12" thickBot="1" customHeight="1">
      <c r="A88" s="28"/>
      <c r="B88" s="28"/>
      <c r="C88" s="28"/>
      <c r="D88" s="28"/>
      <c r="E88" s="29"/>
      <c r="F88" s="31" t="s">
        <v>238</v>
      </c>
      <c r="G88" s="31" t="s">
        <v>239</v>
      </c>
      <c r="H88" s="31" t="s">
        <v>240</v>
      </c>
      <c r="I88" s="31" t="s">
        <v>241</v>
      </c>
      <c r="J88" s="31" t="s">
        <v>242</v>
      </c>
      <c r="K88" s="31" t="s">
        <v>243</v>
      </c>
      <c r="L88" s="28"/>
      <c r="M88" s="28"/>
    </row>
    <row r="89" spans="1:13" ht="21.36" thickBot="1" customHeight="1">
      <c r="A89" s="28"/>
      <c r="B89" s="28"/>
      <c r="C89" s="28"/>
      <c r="D89" s="32"/>
      <c r="E89" s="33" t="s">
        <v>244</v>
      </c>
      <c r="F89" s="34">
        <v>1</v>
      </c>
      <c r="G89" s="35">
        <v>12.80</v>
      </c>
      <c r="H89" s="35">
        <v>5.30</v>
      </c>
      <c r="I89" s="35"/>
      <c r="J89" s="37">
        <f ca="1">ROUND(F89*G89*H89,2)</f>
        <v>0</v>
      </c>
      <c r="K89" s="40"/>
      <c r="L89" s="28"/>
      <c r="M89" s="28"/>
    </row>
    <row r="90" spans="1:13" ht="15.12" thickBot="1" customHeight="1">
      <c r="A90" s="28"/>
      <c r="B90" s="28"/>
      <c r="C90" s="28"/>
      <c r="D90" s="32"/>
      <c r="E90" s="8"/>
      <c r="F90" s="6">
        <v>-1</v>
      </c>
      <c r="G90" s="27">
        <v>1.00</v>
      </c>
      <c r="H90" s="27">
        <v>4.00</v>
      </c>
      <c r="I90" s="27"/>
      <c r="J90" s="36">
        <f ca="1">ROUND(F90*G90*H90,2)</f>
        <v>0</v>
      </c>
      <c r="K90" s="38">
        <f ca="1">SUM(J89:J90)</f>
        <v>0</v>
      </c>
      <c r="L90" s="28"/>
      <c r="M90" s="28"/>
    </row>
    <row r="91" spans="1:13" ht="15.48" thickBot="1" customHeight="1">
      <c r="A91" s="15" t="s">
        <v>245</v>
      </c>
      <c r="B91" s="8" t="s">
        <v>246</v>
      </c>
      <c r="C91" s="8" t="s">
        <v>247</v>
      </c>
      <c r="D91" s="26" t="s">
        <v>248</v>
      </c>
      <c r="E91" s="26"/>
      <c r="F91" s="26"/>
      <c r="G91" s="26"/>
      <c r="H91" s="26"/>
      <c r="I91" s="26"/>
      <c r="J91" s="26"/>
      <c r="K91" s="27">
        <f ca="1">SUM(K94:K94)</f>
        <v>0</v>
      </c>
      <c r="L91" s="27">
        <f ca="1">ROUND(20.54*(1+M2/100),2)</f>
        <v>0</v>
      </c>
      <c r="M91" s="27">
        <f ca="1">ROUND(K91*L91,2)</f>
        <v>0</v>
      </c>
    </row>
    <row r="92" spans="1:13" ht="21.36" thickBot="1" customHeight="1">
      <c r="A92" s="28"/>
      <c r="B92" s="28"/>
      <c r="C92" s="28"/>
      <c r="D92" s="26" t="s">
        <v>249</v>
      </c>
      <c r="E92" s="26"/>
      <c r="F92" s="26"/>
      <c r="G92" s="26"/>
      <c r="H92" s="26"/>
      <c r="I92" s="26"/>
      <c r="J92" s="26"/>
      <c r="K92" s="26"/>
      <c r="L92" s="26"/>
      <c r="M92" s="26"/>
    </row>
    <row r="93" spans="1:13" ht="15.12" thickBot="1" customHeight="1">
      <c r="A93" s="28"/>
      <c r="B93" s="28"/>
      <c r="C93" s="28"/>
      <c r="D93" s="28"/>
      <c r="E93" s="29"/>
      <c r="F93" s="31" t="s">
        <v>250</v>
      </c>
      <c r="G93" s="31" t="s">
        <v>251</v>
      </c>
      <c r="H93" s="31" t="s">
        <v>252</v>
      </c>
      <c r="I93" s="31" t="s">
        <v>253</v>
      </c>
      <c r="J93" s="31" t="s">
        <v>254</v>
      </c>
      <c r="K93" s="31" t="s">
        <v>255</v>
      </c>
      <c r="L93" s="28"/>
      <c r="M93" s="28"/>
    </row>
    <row r="94" spans="1:13" ht="39.84" thickBot="1" customHeight="1">
      <c r="A94" s="28"/>
      <c r="B94" s="28"/>
      <c r="C94" s="28"/>
      <c r="D94" s="32"/>
      <c r="E94" s="33" t="s">
        <v>256</v>
      </c>
      <c r="F94" s="34"/>
      <c r="G94" s="35">
        <v>3.00</v>
      </c>
      <c r="H94" s="35"/>
      <c r="I94" s="35"/>
      <c r="J94" s="37">
        <f ca="1">ROUND(G94,2)</f>
        <v>0</v>
      </c>
      <c r="K94" s="39">
        <f ca="1">SUM(J94:J94)</f>
        <v>0</v>
      </c>
      <c r="L94" s="28"/>
      <c r="M94" s="28"/>
    </row>
    <row r="95" spans="1:13" ht="15.48" thickBot="1" customHeight="1">
      <c r="A95" s="15" t="s">
        <v>257</v>
      </c>
      <c r="B95" s="8" t="s">
        <v>258</v>
      </c>
      <c r="C95" s="8" t="s">
        <v>259</v>
      </c>
      <c r="D95" s="26" t="s">
        <v>260</v>
      </c>
      <c r="E95" s="26"/>
      <c r="F95" s="26"/>
      <c r="G95" s="26"/>
      <c r="H95" s="26"/>
      <c r="I95" s="26"/>
      <c r="J95" s="26"/>
      <c r="K95" s="27">
        <f ca="1">SUM(K98:K98)</f>
        <v>0</v>
      </c>
      <c r="L95" s="27">
        <f ca="1">ROUND(22.44*(1+M2/100),2)</f>
        <v>0</v>
      </c>
      <c r="M95" s="27">
        <f ca="1">ROUND(K95*L95,2)</f>
        <v>0</v>
      </c>
    </row>
    <row r="96" spans="1:13" ht="39.84" thickBot="1" customHeight="1">
      <c r="A96" s="28"/>
      <c r="B96" s="28"/>
      <c r="C96" s="28"/>
      <c r="D96" s="26" t="s">
        <v>261</v>
      </c>
      <c r="E96" s="26"/>
      <c r="F96" s="26"/>
      <c r="G96" s="26"/>
      <c r="H96" s="26"/>
      <c r="I96" s="26"/>
      <c r="J96" s="26"/>
      <c r="K96" s="26"/>
      <c r="L96" s="26"/>
      <c r="M96" s="26"/>
    </row>
    <row r="97" spans="1:13" ht="15.12" thickBot="1" customHeight="1">
      <c r="A97" s="28"/>
      <c r="B97" s="28"/>
      <c r="C97" s="28"/>
      <c r="D97" s="28"/>
      <c r="E97" s="29"/>
      <c r="F97" s="31" t="s">
        <v>262</v>
      </c>
      <c r="G97" s="31" t="s">
        <v>263</v>
      </c>
      <c r="H97" s="31" t="s">
        <v>264</v>
      </c>
      <c r="I97" s="31" t="s">
        <v>265</v>
      </c>
      <c r="J97" s="31" t="s">
        <v>266</v>
      </c>
      <c r="K97" s="31" t="s">
        <v>267</v>
      </c>
      <c r="L97" s="28"/>
      <c r="M97" s="28"/>
    </row>
    <row r="98" spans="1:13" ht="21.36" thickBot="1" customHeight="1">
      <c r="A98" s="28"/>
      <c r="B98" s="28"/>
      <c r="C98" s="28"/>
      <c r="D98" s="32"/>
      <c r="E98" s="33" t="s">
        <v>268</v>
      </c>
      <c r="F98" s="34"/>
      <c r="G98" s="35">
        <v>22.50</v>
      </c>
      <c r="H98" s="35">
        <v>3.10</v>
      </c>
      <c r="I98" s="35"/>
      <c r="J98" s="37">
        <f ca="1">ROUND(G98*H98,2)</f>
        <v>0</v>
      </c>
      <c r="K98" s="39">
        <f ca="1">SUM(J98:J98)</f>
        <v>0</v>
      </c>
      <c r="L98" s="28"/>
      <c r="M98" s="28"/>
    </row>
    <row r="99" spans="1:13" ht="21.36" thickBot="1" customHeight="1">
      <c r="A99" s="15" t="s">
        <v>269</v>
      </c>
      <c r="B99" s="8" t="s">
        <v>270</v>
      </c>
      <c r="C99" s="8" t="s">
        <v>271</v>
      </c>
      <c r="D99" s="26" t="s">
        <v>272</v>
      </c>
      <c r="E99" s="26"/>
      <c r="F99" s="26"/>
      <c r="G99" s="26"/>
      <c r="H99" s="26"/>
      <c r="I99" s="26"/>
      <c r="J99" s="26"/>
      <c r="K99" s="27">
        <f ca="1">SUM(K102:K102)</f>
        <v>0</v>
      </c>
      <c r="L99" s="27">
        <f ca="1">ROUND(29.14*(1+M2/100),2)</f>
        <v>0</v>
      </c>
      <c r="M99" s="27">
        <f ca="1">ROUND(K99*L99,2)</f>
        <v>0</v>
      </c>
    </row>
    <row r="100" spans="1:13" ht="21.36" thickBot="1" customHeight="1">
      <c r="A100" s="28"/>
      <c r="B100" s="28"/>
      <c r="C100" s="28"/>
      <c r="D100" s="26" t="s">
        <v>273</v>
      </c>
      <c r="E100" s="26"/>
      <c r="F100" s="26"/>
      <c r="G100" s="26"/>
      <c r="H100" s="26"/>
      <c r="I100" s="26"/>
      <c r="J100" s="26"/>
      <c r="K100" s="26"/>
      <c r="L100" s="26"/>
      <c r="M100" s="26"/>
    </row>
    <row r="101" spans="1:13" ht="15.12" thickBot="1" customHeight="1">
      <c r="A101" s="28"/>
      <c r="B101" s="28"/>
      <c r="C101" s="28"/>
      <c r="D101" s="28"/>
      <c r="E101" s="29"/>
      <c r="F101" s="31" t="s">
        <v>274</v>
      </c>
      <c r="G101" s="31" t="s">
        <v>275</v>
      </c>
      <c r="H101" s="31" t="s">
        <v>276</v>
      </c>
      <c r="I101" s="31" t="s">
        <v>277</v>
      </c>
      <c r="J101" s="31" t="s">
        <v>278</v>
      </c>
      <c r="K101" s="31" t="s">
        <v>279</v>
      </c>
      <c r="L101" s="28"/>
      <c r="M101" s="28"/>
    </row>
    <row r="102" spans="1:13" ht="21.36" thickBot="1" customHeight="1">
      <c r="A102" s="28"/>
      <c r="B102" s="28"/>
      <c r="C102" s="28"/>
      <c r="D102" s="32" t="s">
        <v>280</v>
      </c>
      <c r="E102" s="33" t="s">
        <v>281</v>
      </c>
      <c r="F102" s="34"/>
      <c r="G102" s="35">
        <v>22.50</v>
      </c>
      <c r="H102" s="35">
        <v>3.10</v>
      </c>
      <c r="I102" s="35">
        <v>0.20</v>
      </c>
      <c r="J102" s="37">
        <f ca="1">ROUND((G102+H102)*I102,2)</f>
        <v>0</v>
      </c>
      <c r="K102" s="39">
        <f ca="1">SUM(J102:J102)</f>
        <v>0</v>
      </c>
      <c r="L102" s="28"/>
      <c r="M102" s="28"/>
    </row>
    <row r="103" spans="1:13" ht="15.48" thickBot="1" customHeight="1">
      <c r="A103" s="15" t="s">
        <v>282</v>
      </c>
      <c r="B103" s="8" t="s">
        <v>283</v>
      </c>
      <c r="C103" s="8" t="s">
        <v>284</v>
      </c>
      <c r="D103" s="26" t="s">
        <v>285</v>
      </c>
      <c r="E103" s="26"/>
      <c r="F103" s="26"/>
      <c r="G103" s="26"/>
      <c r="H103" s="26"/>
      <c r="I103" s="26"/>
      <c r="J103" s="26"/>
      <c r="K103" s="27">
        <f ca="1">SUM(K106:K108)</f>
        <v>0</v>
      </c>
      <c r="L103" s="27">
        <f ca="1">ROUND(8.16*(1+M2/100),2)</f>
        <v>0</v>
      </c>
      <c r="M103" s="27">
        <f ca="1">ROUND(K103*L103,2)</f>
        <v>0</v>
      </c>
    </row>
    <row r="104" spans="1:13" ht="12.12" thickBot="1" customHeight="1">
      <c r="A104" s="28"/>
      <c r="B104" s="28"/>
      <c r="C104" s="28"/>
      <c r="D104" s="26" t="s">
        <v>286</v>
      </c>
      <c r="E104" s="26"/>
      <c r="F104" s="26"/>
      <c r="G104" s="26"/>
      <c r="H104" s="26"/>
      <c r="I104" s="26"/>
      <c r="J104" s="26"/>
      <c r="K104" s="26"/>
      <c r="L104" s="26"/>
      <c r="M104" s="26"/>
    </row>
    <row r="105" spans="1:13" ht="15.12" thickBot="1" customHeight="1">
      <c r="A105" s="28"/>
      <c r="B105" s="28"/>
      <c r="C105" s="28"/>
      <c r="D105" s="28"/>
      <c r="E105" s="29"/>
      <c r="F105" s="31" t="s">
        <v>287</v>
      </c>
      <c r="G105" s="31" t="s">
        <v>288</v>
      </c>
      <c r="H105" s="31" t="s">
        <v>289</v>
      </c>
      <c r="I105" s="31" t="s">
        <v>290</v>
      </c>
      <c r="J105" s="31" t="s">
        <v>291</v>
      </c>
      <c r="K105" s="31" t="s">
        <v>292</v>
      </c>
      <c r="L105" s="28"/>
      <c r="M105" s="28"/>
    </row>
    <row r="106" spans="1:13" ht="21.36" thickBot="1" customHeight="1">
      <c r="A106" s="28"/>
      <c r="B106" s="28"/>
      <c r="C106" s="28"/>
      <c r="D106" s="32"/>
      <c r="E106" s="33" t="s">
        <v>293</v>
      </c>
      <c r="F106" s="34">
        <v>4</v>
      </c>
      <c r="G106" s="35">
        <v>5.50</v>
      </c>
      <c r="H106" s="35">
        <v>6.00</v>
      </c>
      <c r="I106" s="35"/>
      <c r="J106" s="37">
        <f ca="1">ROUND(F106*G106*H106,2)</f>
        <v>0</v>
      </c>
      <c r="K106" s="40"/>
      <c r="L106" s="28"/>
      <c r="M106" s="28"/>
    </row>
    <row r="107" spans="1:13" ht="15.12" thickBot="1" customHeight="1">
      <c r="A107" s="28"/>
      <c r="B107" s="28"/>
      <c r="C107" s="28"/>
      <c r="D107" s="32"/>
      <c r="E107" s="8"/>
      <c r="F107" s="6">
        <v>1</v>
      </c>
      <c r="G107" s="27">
        <v>12.80</v>
      </c>
      <c r="H107" s="27">
        <v>5.90</v>
      </c>
      <c r="I107" s="27"/>
      <c r="J107" s="36">
        <f ca="1">ROUND(F107*G107*H107,2)</f>
        <v>0</v>
      </c>
      <c r="K107" s="28"/>
      <c r="L107" s="28"/>
      <c r="M107" s="28"/>
    </row>
    <row r="108" spans="1:13" ht="15.12" thickBot="1" customHeight="1">
      <c r="A108" s="28"/>
      <c r="B108" s="28"/>
      <c r="C108" s="28"/>
      <c r="D108" s="32"/>
      <c r="E108" s="8"/>
      <c r="F108" s="6">
        <v>1</v>
      </c>
      <c r="G108" s="27">
        <v>12.80</v>
      </c>
      <c r="H108" s="27">
        <v>11.70</v>
      </c>
      <c r="I108" s="27"/>
      <c r="J108" s="36">
        <f ca="1">ROUND(F108*G108*H108,2)</f>
        <v>0</v>
      </c>
      <c r="K108" s="38">
        <f ca="1">SUM(J106:J108)</f>
        <v>0</v>
      </c>
      <c r="L108" s="28"/>
      <c r="M108" s="28"/>
    </row>
    <row r="109" spans="1:13" ht="15.48" thickBot="1" customHeight="1">
      <c r="A109" s="41"/>
      <c r="B109" s="41"/>
      <c r="C109" s="41"/>
      <c r="D109" s="42" t="s">
        <v>294</v>
      </c>
      <c r="E109" s="43"/>
      <c r="F109" s="43"/>
      <c r="G109" s="43"/>
      <c r="H109" s="43"/>
      <c r="I109" s="43"/>
      <c r="J109" s="43"/>
      <c r="K109" s="43"/>
      <c r="L109" s="44">
        <f ca="1">M86+M91+M95+M99+M103</f>
        <v>0</v>
      </c>
      <c r="M109" s="44">
        <f ca="1">ROUND(L109,2)</f>
        <v>0</v>
      </c>
    </row>
    <row r="110" spans="1:13" ht="15.48" thickBot="1" customHeight="1">
      <c r="A110" s="45" t="s">
        <v>295</v>
      </c>
      <c r="B110" s="45" t="s">
        <v>296</v>
      </c>
      <c r="C110" s="46"/>
      <c r="D110" s="47" t="s">
        <v>297</v>
      </c>
      <c r="E110" s="47"/>
      <c r="F110" s="47"/>
      <c r="G110" s="47"/>
      <c r="H110" s="47"/>
      <c r="I110" s="47"/>
      <c r="J110" s="47"/>
      <c r="K110" s="46"/>
      <c r="L110" s="48">
        <f ca="1">L160</f>
        <v>0</v>
      </c>
      <c r="M110" s="48">
        <f ca="1">ROUND(L110,2)</f>
        <v>0</v>
      </c>
    </row>
    <row r="111" spans="1:13" ht="15.48" thickBot="1" customHeight="1">
      <c r="A111" s="15" t="s">
        <v>298</v>
      </c>
      <c r="B111" s="8" t="s">
        <v>299</v>
      </c>
      <c r="C111" s="8" t="s">
        <v>300</v>
      </c>
      <c r="D111" s="26" t="s">
        <v>301</v>
      </c>
      <c r="E111" s="26"/>
      <c r="F111" s="26"/>
      <c r="G111" s="26"/>
      <c r="H111" s="26"/>
      <c r="I111" s="26"/>
      <c r="J111" s="26"/>
      <c r="K111" s="27">
        <f ca="1">SUM(K114:K134)</f>
        <v>0</v>
      </c>
      <c r="L111" s="27">
        <f ca="1">ROUND(41.04*(1+M2/100),2)</f>
        <v>0</v>
      </c>
      <c r="M111" s="27">
        <f ca="1">ROUND(K111*L111,2)</f>
        <v>0</v>
      </c>
    </row>
    <row r="112" spans="1:13" ht="86.04" thickBot="1" customHeight="1">
      <c r="A112" s="28"/>
      <c r="B112" s="28"/>
      <c r="C112" s="28"/>
      <c r="D112" s="26" t="s">
        <v>302</v>
      </c>
      <c r="E112" s="26"/>
      <c r="F112" s="26"/>
      <c r="G112" s="26"/>
      <c r="H112" s="26"/>
      <c r="I112" s="26"/>
      <c r="J112" s="26"/>
      <c r="K112" s="26"/>
      <c r="L112" s="26"/>
      <c r="M112" s="26"/>
    </row>
    <row r="113" spans="1:13" ht="15.12" thickBot="1" customHeight="1">
      <c r="A113" s="28"/>
      <c r="B113" s="28"/>
      <c r="C113" s="28"/>
      <c r="D113" s="28"/>
      <c r="E113" s="29"/>
      <c r="F113" s="31" t="s">
        <v>303</v>
      </c>
      <c r="G113" s="31" t="s">
        <v>304</v>
      </c>
      <c r="H113" s="31" t="s">
        <v>305</v>
      </c>
      <c r="I113" s="31" t="s">
        <v>306</v>
      </c>
      <c r="J113" s="31" t="s">
        <v>307</v>
      </c>
      <c r="K113" s="31" t="s">
        <v>308</v>
      </c>
      <c r="L113" s="28"/>
      <c r="M113" s="28"/>
    </row>
    <row r="114" spans="1:13" ht="15.12" thickBot="1" customHeight="1">
      <c r="A114" s="28"/>
      <c r="B114" s="28"/>
      <c r="C114" s="28"/>
      <c r="D114" s="32"/>
      <c r="E114" s="33" t="s">
        <v>309</v>
      </c>
      <c r="F114" s="34"/>
      <c r="G114" s="35"/>
      <c r="H114" s="35"/>
      <c r="I114" s="35"/>
      <c r="J114" s="49" t="s">
        <v>310</v>
      </c>
      <c r="K114" s="40"/>
      <c r="L114" s="28"/>
      <c r="M114" s="28"/>
    </row>
    <row r="115" spans="1:13" ht="15.12" thickBot="1" customHeight="1">
      <c r="A115" s="28"/>
      <c r="B115" s="28"/>
      <c r="C115" s="28"/>
      <c r="D115" s="32"/>
      <c r="E115" s="8"/>
      <c r="F115" s="6">
        <v>2</v>
      </c>
      <c r="G115" s="27"/>
      <c r="H115" s="27">
        <v>0.60</v>
      </c>
      <c r="I115" s="27">
        <v>3.00</v>
      </c>
      <c r="J115" s="36">
        <f ca="1">ROUND(F115*H115*I115,2)</f>
        <v>0</v>
      </c>
      <c r="K115" s="28"/>
      <c r="L115" s="28"/>
      <c r="M115" s="28"/>
    </row>
    <row r="116" spans="1:13" ht="15.12" thickBot="1" customHeight="1">
      <c r="A116" s="28"/>
      <c r="B116" s="28"/>
      <c r="C116" s="28"/>
      <c r="D116" s="32"/>
      <c r="E116" s="8"/>
      <c r="F116" s="6">
        <v>1</v>
      </c>
      <c r="G116" s="27"/>
      <c r="H116" s="27">
        <v>3.20</v>
      </c>
      <c r="I116" s="27">
        <v>3.00</v>
      </c>
      <c r="J116" s="36">
        <f ca="1">ROUND(F116*H116*I116,2)</f>
        <v>0</v>
      </c>
      <c r="K116" s="28"/>
      <c r="L116" s="28"/>
      <c r="M116" s="28"/>
    </row>
    <row r="117" spans="1:13" ht="15.12" thickBot="1" customHeight="1">
      <c r="A117" s="28"/>
      <c r="B117" s="28"/>
      <c r="C117" s="28"/>
      <c r="D117" s="32"/>
      <c r="E117" s="8" t="s">
        <v>311</v>
      </c>
      <c r="F117" s="6"/>
      <c r="G117" s="27"/>
      <c r="H117" s="27"/>
      <c r="I117" s="27"/>
      <c r="J117" s="30" t="s">
        <v>312</v>
      </c>
      <c r="K117" s="28"/>
      <c r="L117" s="28"/>
      <c r="M117" s="28"/>
    </row>
    <row r="118" spans="1:13" ht="15.12" thickBot="1" customHeight="1">
      <c r="A118" s="28"/>
      <c r="B118" s="28"/>
      <c r="C118" s="28"/>
      <c r="D118" s="32"/>
      <c r="E118" s="8"/>
      <c r="F118" s="6">
        <v>1</v>
      </c>
      <c r="G118" s="27"/>
      <c r="H118" s="27">
        <v>8.00</v>
      </c>
      <c r="I118" s="27">
        <v>2.60</v>
      </c>
      <c r="J118" s="36">
        <f ca="1">ROUND(F118*H118*I118,2)</f>
        <v>0</v>
      </c>
      <c r="K118" s="28"/>
      <c r="L118" s="28"/>
      <c r="M118" s="28"/>
    </row>
    <row r="119" spans="1:13" ht="15.12" thickBot="1" customHeight="1">
      <c r="A119" s="28"/>
      <c r="B119" s="28"/>
      <c r="C119" s="28"/>
      <c r="D119" s="32"/>
      <c r="E119" s="8"/>
      <c r="F119" s="6">
        <v>3</v>
      </c>
      <c r="G119" s="27"/>
      <c r="H119" s="27">
        <v>2.00</v>
      </c>
      <c r="I119" s="27">
        <v>2.40</v>
      </c>
      <c r="J119" s="36">
        <f ca="1">ROUND(F119*H119*I119,2)</f>
        <v>0</v>
      </c>
      <c r="K119" s="28"/>
      <c r="L119" s="28"/>
      <c r="M119" s="28"/>
    </row>
    <row r="120" spans="1:13" ht="15.12" thickBot="1" customHeight="1">
      <c r="A120" s="28"/>
      <c r="B120" s="28"/>
      <c r="C120" s="28"/>
      <c r="D120" s="32"/>
      <c r="E120" s="8"/>
      <c r="F120" s="6">
        <v>1</v>
      </c>
      <c r="G120" s="27"/>
      <c r="H120" s="27">
        <v>8.00</v>
      </c>
      <c r="I120" s="27">
        <v>2.20</v>
      </c>
      <c r="J120" s="36">
        <f ca="1">ROUND(F120*H120*I120,2)</f>
        <v>0</v>
      </c>
      <c r="K120" s="28"/>
      <c r="L120" s="28"/>
      <c r="M120" s="28"/>
    </row>
    <row r="121" spans="1:13" ht="21.36" thickBot="1" customHeight="1">
      <c r="A121" s="28"/>
      <c r="B121" s="28"/>
      <c r="C121" s="28"/>
      <c r="D121" s="32"/>
      <c r="E121" s="8" t="s">
        <v>313</v>
      </c>
      <c r="F121" s="6">
        <v>-2</v>
      </c>
      <c r="G121" s="27"/>
      <c r="H121" s="27">
        <v>0.80</v>
      </c>
      <c r="I121" s="27">
        <v>2.00</v>
      </c>
      <c r="J121" s="36">
        <f ca="1">ROUND(F121*H121*I121,2)</f>
        <v>0</v>
      </c>
      <c r="K121" s="28"/>
      <c r="L121" s="28"/>
      <c r="M121" s="28"/>
    </row>
    <row r="122" spans="1:13" ht="15.12" thickBot="1" customHeight="1">
      <c r="A122" s="28"/>
      <c r="B122" s="28"/>
      <c r="C122" s="28"/>
      <c r="D122" s="32"/>
      <c r="E122" s="8" t="s">
        <v>314</v>
      </c>
      <c r="F122" s="6"/>
      <c r="G122" s="27"/>
      <c r="H122" s="27"/>
      <c r="I122" s="27"/>
      <c r="J122" s="30" t="s">
        <v>315</v>
      </c>
      <c r="K122" s="28"/>
      <c r="L122" s="28"/>
      <c r="M122" s="28"/>
    </row>
    <row r="123" spans="1:13" ht="15.12" thickBot="1" customHeight="1">
      <c r="A123" s="28"/>
      <c r="B123" s="28"/>
      <c r="C123" s="28"/>
      <c r="D123" s="32"/>
      <c r="E123" s="8"/>
      <c r="F123" s="6">
        <v>1</v>
      </c>
      <c r="G123" s="27"/>
      <c r="H123" s="27">
        <v>8.00</v>
      </c>
      <c r="I123" s="27">
        <v>2.60</v>
      </c>
      <c r="J123" s="36">
        <f ca="1">ROUND(F123*H123*I123,2)</f>
        <v>0</v>
      </c>
      <c r="K123" s="28"/>
      <c r="L123" s="28"/>
      <c r="M123" s="28"/>
    </row>
    <row r="124" spans="1:13" ht="15.12" thickBot="1" customHeight="1">
      <c r="A124" s="28"/>
      <c r="B124" s="28"/>
      <c r="C124" s="28"/>
      <c r="D124" s="32"/>
      <c r="E124" s="8"/>
      <c r="F124" s="6">
        <v>3</v>
      </c>
      <c r="G124" s="27"/>
      <c r="H124" s="27">
        <v>2.00</v>
      </c>
      <c r="I124" s="27">
        <v>2.40</v>
      </c>
      <c r="J124" s="36">
        <f ca="1">ROUND(F124*H124*I124,2)</f>
        <v>0</v>
      </c>
      <c r="K124" s="28"/>
      <c r="L124" s="28"/>
      <c r="M124" s="28"/>
    </row>
    <row r="125" spans="1:13" ht="15.12" thickBot="1" customHeight="1">
      <c r="A125" s="28"/>
      <c r="B125" s="28"/>
      <c r="C125" s="28"/>
      <c r="D125" s="32"/>
      <c r="E125" s="8"/>
      <c r="F125" s="6">
        <v>1</v>
      </c>
      <c r="G125" s="27"/>
      <c r="H125" s="27">
        <v>8.00</v>
      </c>
      <c r="I125" s="27">
        <v>2.20</v>
      </c>
      <c r="J125" s="36">
        <f ca="1">ROUND(F125*H125*I125,2)</f>
        <v>0</v>
      </c>
      <c r="K125" s="28"/>
      <c r="L125" s="28"/>
      <c r="M125" s="28"/>
    </row>
    <row r="126" spans="1:13" ht="21.36" thickBot="1" customHeight="1">
      <c r="A126" s="28"/>
      <c r="B126" s="28"/>
      <c r="C126" s="28"/>
      <c r="D126" s="32"/>
      <c r="E126" s="8" t="s">
        <v>316</v>
      </c>
      <c r="F126" s="6">
        <v>-2</v>
      </c>
      <c r="G126" s="27"/>
      <c r="H126" s="27">
        <v>0.80</v>
      </c>
      <c r="I126" s="27">
        <v>2.00</v>
      </c>
      <c r="J126" s="36">
        <f ca="1">ROUND(F126*H126*I126,2)</f>
        <v>0</v>
      </c>
      <c r="K126" s="28"/>
      <c r="L126" s="28"/>
      <c r="M126" s="28"/>
    </row>
    <row r="127" spans="1:13" ht="15.12" thickBot="1" customHeight="1">
      <c r="A127" s="28"/>
      <c r="B127" s="28"/>
      <c r="C127" s="28"/>
      <c r="D127" s="32"/>
      <c r="E127" s="8" t="s">
        <v>317</v>
      </c>
      <c r="F127" s="6"/>
      <c r="G127" s="27"/>
      <c r="H127" s="27"/>
      <c r="I127" s="27"/>
      <c r="J127" s="30" t="s">
        <v>318</v>
      </c>
      <c r="K127" s="28"/>
      <c r="L127" s="28"/>
      <c r="M127" s="28"/>
    </row>
    <row r="128" spans="1:13" ht="15.12" thickBot="1" customHeight="1">
      <c r="A128" s="28"/>
      <c r="B128" s="28"/>
      <c r="C128" s="28"/>
      <c r="D128" s="32"/>
      <c r="E128" s="8"/>
      <c r="F128" s="6">
        <v>2</v>
      </c>
      <c r="G128" s="27"/>
      <c r="H128" s="27">
        <v>0.60</v>
      </c>
      <c r="I128" s="27">
        <v>3.00</v>
      </c>
      <c r="J128" s="36">
        <f ca="1">ROUND(F128*H128*I128,2)</f>
        <v>0</v>
      </c>
      <c r="K128" s="28"/>
      <c r="L128" s="28"/>
      <c r="M128" s="28"/>
    </row>
    <row r="129" spans="1:13" ht="15.12" thickBot="1" customHeight="1">
      <c r="A129" s="28"/>
      <c r="B129" s="28"/>
      <c r="C129" s="28"/>
      <c r="D129" s="32"/>
      <c r="E129" s="8"/>
      <c r="F129" s="6">
        <v>1</v>
      </c>
      <c r="G129" s="27"/>
      <c r="H129" s="27">
        <v>3.20</v>
      </c>
      <c r="I129" s="27">
        <v>3.00</v>
      </c>
      <c r="J129" s="36">
        <f ca="1">ROUND(F129*H129*I129,2)</f>
        <v>0</v>
      </c>
      <c r="K129" s="28"/>
      <c r="L129" s="28"/>
      <c r="M129" s="28"/>
    </row>
    <row r="130" spans="1:13" ht="15.12" thickBot="1" customHeight="1">
      <c r="A130" s="28"/>
      <c r="B130" s="28"/>
      <c r="C130" s="28"/>
      <c r="D130" s="32"/>
      <c r="E130" s="8" t="s">
        <v>319</v>
      </c>
      <c r="F130" s="6"/>
      <c r="G130" s="27"/>
      <c r="H130" s="27"/>
      <c r="I130" s="27"/>
      <c r="J130" s="30" t="s">
        <v>320</v>
      </c>
      <c r="K130" s="28"/>
      <c r="L130" s="28"/>
      <c r="M130" s="28"/>
    </row>
    <row r="131" spans="1:13" ht="15.12" thickBot="1" customHeight="1">
      <c r="A131" s="28"/>
      <c r="B131" s="28"/>
      <c r="C131" s="28"/>
      <c r="D131" s="32"/>
      <c r="E131" s="8"/>
      <c r="F131" s="6">
        <v>1</v>
      </c>
      <c r="G131" s="27"/>
      <c r="H131" s="27">
        <v>5.60</v>
      </c>
      <c r="I131" s="27">
        <v>3.45</v>
      </c>
      <c r="J131" s="36">
        <f ca="1">ROUND(F131*H131*I131,2)</f>
        <v>0</v>
      </c>
      <c r="K131" s="28"/>
      <c r="L131" s="28"/>
      <c r="M131" s="28"/>
    </row>
    <row r="132" spans="1:13" ht="15.12" thickBot="1" customHeight="1">
      <c r="A132" s="28"/>
      <c r="B132" s="28"/>
      <c r="C132" s="28"/>
      <c r="D132" s="32"/>
      <c r="E132" s="8"/>
      <c r="F132" s="6">
        <v>2</v>
      </c>
      <c r="G132" s="27"/>
      <c r="H132" s="27">
        <v>3.00</v>
      </c>
      <c r="I132" s="27">
        <v>3.00</v>
      </c>
      <c r="J132" s="36">
        <f ca="1">ROUND(F132*H132*I132,2)</f>
        <v>0</v>
      </c>
      <c r="K132" s="28"/>
      <c r="L132" s="28"/>
      <c r="M132" s="28"/>
    </row>
    <row r="133" spans="1:13" ht="15.12" thickBot="1" customHeight="1">
      <c r="A133" s="28"/>
      <c r="B133" s="28"/>
      <c r="C133" s="28"/>
      <c r="D133" s="32"/>
      <c r="E133" s="8"/>
      <c r="F133" s="6">
        <v>1</v>
      </c>
      <c r="G133" s="27"/>
      <c r="H133" s="27">
        <v>2.00</v>
      </c>
      <c r="I133" s="27">
        <v>3.00</v>
      </c>
      <c r="J133" s="36">
        <f ca="1">ROUND(F133*H133*I133,2)</f>
        <v>0</v>
      </c>
      <c r="K133" s="28"/>
      <c r="L133" s="28"/>
      <c r="M133" s="28"/>
    </row>
    <row r="134" spans="1:13" ht="15.12" thickBot="1" customHeight="1">
      <c r="A134" s="28"/>
      <c r="B134" s="28"/>
      <c r="C134" s="28"/>
      <c r="D134" s="32"/>
      <c r="E134" s="8"/>
      <c r="F134" s="6">
        <v>1</v>
      </c>
      <c r="G134" s="27"/>
      <c r="H134" s="27">
        <v>1.60</v>
      </c>
      <c r="I134" s="27">
        <v>2.40</v>
      </c>
      <c r="J134" s="36">
        <f ca="1">ROUND(F134*H134*I134,2)</f>
        <v>0</v>
      </c>
      <c r="K134" s="38">
        <f ca="1">SUM(J114:J134)</f>
        <v>0</v>
      </c>
      <c r="L134" s="28"/>
      <c r="M134" s="28"/>
    </row>
    <row r="135" spans="1:13" ht="15.48" thickBot="1" customHeight="1">
      <c r="A135" s="15" t="s">
        <v>321</v>
      </c>
      <c r="B135" s="8" t="s">
        <v>322</v>
      </c>
      <c r="C135" s="8" t="s">
        <v>323</v>
      </c>
      <c r="D135" s="26" t="s">
        <v>324</v>
      </c>
      <c r="E135" s="26"/>
      <c r="F135" s="26"/>
      <c r="G135" s="26"/>
      <c r="H135" s="26"/>
      <c r="I135" s="26"/>
      <c r="J135" s="26"/>
      <c r="K135" s="27">
        <f ca="1">SUM(K138:K143)</f>
        <v>0</v>
      </c>
      <c r="L135" s="27">
        <f ca="1">ROUND(21.88*(1+M2/100),2)</f>
        <v>0</v>
      </c>
      <c r="M135" s="27">
        <f ca="1">ROUND(K135*L135,2)</f>
        <v>0</v>
      </c>
    </row>
    <row r="136" spans="1:13" ht="12.12" thickBot="1" customHeight="1">
      <c r="A136" s="28"/>
      <c r="B136" s="28"/>
      <c r="C136" s="28"/>
      <c r="D136" s="26" t="s">
        <v>325</v>
      </c>
      <c r="E136" s="26"/>
      <c r="F136" s="26"/>
      <c r="G136" s="26"/>
      <c r="H136" s="26"/>
      <c r="I136" s="26"/>
      <c r="J136" s="26"/>
      <c r="K136" s="26"/>
      <c r="L136" s="26"/>
      <c r="M136" s="26"/>
    </row>
    <row r="137" spans="1:13" ht="15.12" thickBot="1" customHeight="1">
      <c r="A137" s="28"/>
      <c r="B137" s="28"/>
      <c r="C137" s="28"/>
      <c r="D137" s="28"/>
      <c r="E137" s="29"/>
      <c r="F137" s="31" t="s">
        <v>326</v>
      </c>
      <c r="G137" s="31" t="s">
        <v>327</v>
      </c>
      <c r="H137" s="31" t="s">
        <v>328</v>
      </c>
      <c r="I137" s="31" t="s">
        <v>329</v>
      </c>
      <c r="J137" s="31" t="s">
        <v>330</v>
      </c>
      <c r="K137" s="31" t="s">
        <v>331</v>
      </c>
      <c r="L137" s="28"/>
      <c r="M137" s="28"/>
    </row>
    <row r="138" spans="1:13" ht="15.12" thickBot="1" customHeight="1">
      <c r="A138" s="28"/>
      <c r="B138" s="28"/>
      <c r="C138" s="28"/>
      <c r="D138" s="32"/>
      <c r="E138" s="33" t="s">
        <v>332</v>
      </c>
      <c r="F138" s="34"/>
      <c r="G138" s="35"/>
      <c r="H138" s="35"/>
      <c r="I138" s="35"/>
      <c r="J138" s="49" t="s">
        <v>333</v>
      </c>
      <c r="K138" s="40"/>
      <c r="L138" s="28"/>
      <c r="M138" s="28"/>
    </row>
    <row r="139" spans="1:13" ht="15.12" thickBot="1" customHeight="1">
      <c r="A139" s="28"/>
      <c r="B139" s="28"/>
      <c r="C139" s="28"/>
      <c r="D139" s="32"/>
      <c r="E139" s="8"/>
      <c r="F139" s="6">
        <v>6</v>
      </c>
      <c r="G139" s="27">
        <v>2.00</v>
      </c>
      <c r="H139" s="27"/>
      <c r="I139" s="27"/>
      <c r="J139" s="36">
        <f ca="1">ROUND(F139*G139,2)</f>
        <v>0</v>
      </c>
      <c r="K139" s="28"/>
      <c r="L139" s="28"/>
      <c r="M139" s="28"/>
    </row>
    <row r="140" spans="1:13" ht="15.12" thickBot="1" customHeight="1">
      <c r="A140" s="28"/>
      <c r="B140" s="28"/>
      <c r="C140" s="28"/>
      <c r="D140" s="32"/>
      <c r="E140" s="8"/>
      <c r="F140" s="6"/>
      <c r="G140" s="27"/>
      <c r="H140" s="27"/>
      <c r="I140" s="27"/>
      <c r="J140" s="30" t="s">
        <v>334</v>
      </c>
      <c r="K140" s="28"/>
      <c r="L140" s="28"/>
      <c r="M140" s="28"/>
    </row>
    <row r="141" spans="1:13" ht="15.12" thickBot="1" customHeight="1">
      <c r="A141" s="28"/>
      <c r="B141" s="28"/>
      <c r="C141" s="28"/>
      <c r="D141" s="32"/>
      <c r="E141" s="8" t="s">
        <v>335</v>
      </c>
      <c r="F141" s="6"/>
      <c r="G141" s="27"/>
      <c r="H141" s="27"/>
      <c r="I141" s="27"/>
      <c r="J141" s="30" t="s">
        <v>336</v>
      </c>
      <c r="K141" s="28"/>
      <c r="L141" s="28"/>
      <c r="M141" s="28"/>
    </row>
    <row r="142" spans="1:13" ht="15.12" thickBot="1" customHeight="1">
      <c r="A142" s="28"/>
      <c r="B142" s="28"/>
      <c r="C142" s="28"/>
      <c r="D142" s="32"/>
      <c r="E142" s="8"/>
      <c r="F142" s="6">
        <v>2</v>
      </c>
      <c r="G142" s="27">
        <v>3.00</v>
      </c>
      <c r="H142" s="27"/>
      <c r="I142" s="27"/>
      <c r="J142" s="36">
        <f ca="1">ROUND(F142*G142,2)</f>
        <v>0</v>
      </c>
      <c r="K142" s="28"/>
      <c r="L142" s="28"/>
      <c r="M142" s="28"/>
    </row>
    <row r="143" spans="1:13" ht="15.12" thickBot="1" customHeight="1">
      <c r="A143" s="28"/>
      <c r="B143" s="28"/>
      <c r="C143" s="28"/>
      <c r="D143" s="32"/>
      <c r="E143" s="8"/>
      <c r="F143" s="6">
        <v>1</v>
      </c>
      <c r="G143" s="27">
        <v>2.00</v>
      </c>
      <c r="H143" s="27"/>
      <c r="I143" s="27"/>
      <c r="J143" s="36">
        <f ca="1">ROUND(F143*G143,2)</f>
        <v>0</v>
      </c>
      <c r="K143" s="38">
        <f ca="1">SUM(J138:J143)</f>
        <v>0</v>
      </c>
      <c r="L143" s="28"/>
      <c r="M143" s="28"/>
    </row>
    <row r="144" spans="1:13" ht="15.48" thickBot="1" customHeight="1">
      <c r="A144" s="15" t="s">
        <v>337</v>
      </c>
      <c r="B144" s="8" t="s">
        <v>338</v>
      </c>
      <c r="C144" s="8" t="s">
        <v>339</v>
      </c>
      <c r="D144" s="26" t="s">
        <v>340</v>
      </c>
      <c r="E144" s="26"/>
      <c r="F144" s="26"/>
      <c r="G144" s="26"/>
      <c r="H144" s="26"/>
      <c r="I144" s="26"/>
      <c r="J144" s="26"/>
      <c r="K144" s="27">
        <f ca="1">SUM(K147:K149)</f>
        <v>0</v>
      </c>
      <c r="L144" s="27">
        <f ca="1">ROUND(1.80*(1+M2/100),2)</f>
        <v>0</v>
      </c>
      <c r="M144" s="27">
        <f ca="1">ROUND(K144*L144,2)</f>
        <v>0</v>
      </c>
    </row>
    <row r="145" spans="1:13" ht="30.60" thickBot="1" customHeight="1">
      <c r="A145" s="28"/>
      <c r="B145" s="28"/>
      <c r="C145" s="28"/>
      <c r="D145" s="26" t="s">
        <v>341</v>
      </c>
      <c r="E145" s="26"/>
      <c r="F145" s="26"/>
      <c r="G145" s="26"/>
      <c r="H145" s="26"/>
      <c r="I145" s="26"/>
      <c r="J145" s="26"/>
      <c r="K145" s="26"/>
      <c r="L145" s="26"/>
      <c r="M145" s="26"/>
    </row>
    <row r="146" spans="1:13" ht="15.12" thickBot="1" customHeight="1">
      <c r="A146" s="28"/>
      <c r="B146" s="28"/>
      <c r="C146" s="28"/>
      <c r="D146" s="28"/>
      <c r="E146" s="29"/>
      <c r="F146" s="31" t="s">
        <v>342</v>
      </c>
      <c r="G146" s="31" t="s">
        <v>343</v>
      </c>
      <c r="H146" s="31" t="s">
        <v>344</v>
      </c>
      <c r="I146" s="31"/>
      <c r="J146" s="31" t="s">
        <v>345</v>
      </c>
      <c r="K146" s="31" t="s">
        <v>346</v>
      </c>
      <c r="L146" s="28"/>
      <c r="M146" s="28"/>
    </row>
    <row r="147" spans="1:13" ht="21.36" thickBot="1" customHeight="1">
      <c r="A147" s="28"/>
      <c r="B147" s="28"/>
      <c r="C147" s="28"/>
      <c r="D147" s="32"/>
      <c r="E147" s="33" t="s">
        <v>347</v>
      </c>
      <c r="F147" s="34">
        <v>2</v>
      </c>
      <c r="G147" s="35">
        <v>22.20</v>
      </c>
      <c r="H147" s="35">
        <v>10.48</v>
      </c>
      <c r="I147" s="35"/>
      <c r="J147" s="37">
        <f ca="1">ROUND(F147*G147*H147,2)</f>
        <v>0</v>
      </c>
      <c r="K147" s="40"/>
      <c r="L147" s="28"/>
      <c r="M147" s="28"/>
    </row>
    <row r="148" spans="1:13" ht="15.12" thickBot="1" customHeight="1">
      <c r="A148" s="28"/>
      <c r="B148" s="28"/>
      <c r="C148" s="28"/>
      <c r="D148" s="32"/>
      <c r="E148" s="8" t="s">
        <v>348</v>
      </c>
      <c r="F148" s="6">
        <v>3</v>
      </c>
      <c r="G148" s="27">
        <v>5.60</v>
      </c>
      <c r="H148" s="27">
        <v>10.48</v>
      </c>
      <c r="I148" s="27"/>
      <c r="J148" s="36">
        <f ca="1">ROUND(F148*G148*H148,2)</f>
        <v>0</v>
      </c>
      <c r="K148" s="28"/>
      <c r="L148" s="28"/>
      <c r="M148" s="28"/>
    </row>
    <row r="149" spans="1:13" ht="39.84" thickBot="1" customHeight="1">
      <c r="A149" s="28"/>
      <c r="B149" s="28"/>
      <c r="C149" s="28"/>
      <c r="D149" s="32"/>
      <c r="E149" s="8" t="s">
        <v>349</v>
      </c>
      <c r="F149" s="6">
        <v>2</v>
      </c>
      <c r="G149" s="27">
        <v>50.00</v>
      </c>
      <c r="H149" s="27"/>
      <c r="I149" s="27"/>
      <c r="J149" s="36">
        <f ca="1">ROUND(F149*G149,2)</f>
        <v>0</v>
      </c>
      <c r="K149" s="38">
        <f ca="1">SUM(J147:J149)</f>
        <v>0</v>
      </c>
      <c r="L149" s="28"/>
      <c r="M149" s="28"/>
    </row>
    <row r="150" spans="1:13" ht="15.48" thickBot="1" customHeight="1">
      <c r="A150" s="15" t="s">
        <v>350</v>
      </c>
      <c r="B150" s="8" t="s">
        <v>351</v>
      </c>
      <c r="C150" s="8" t="s">
        <v>352</v>
      </c>
      <c r="D150" s="26" t="s">
        <v>353</v>
      </c>
      <c r="E150" s="26"/>
      <c r="F150" s="26"/>
      <c r="G150" s="26"/>
      <c r="H150" s="26"/>
      <c r="I150" s="26"/>
      <c r="J150" s="26"/>
      <c r="K150" s="27">
        <f ca="1">SUM(K153:K154)</f>
        <v>0</v>
      </c>
      <c r="L150" s="27">
        <f ca="1">ROUND(35.60*(1+M2/100),2)</f>
        <v>0</v>
      </c>
      <c r="M150" s="27">
        <f ca="1">ROUND(K150*L150,2)</f>
        <v>0</v>
      </c>
    </row>
    <row r="151" spans="1:13" ht="21.36" thickBot="1" customHeight="1">
      <c r="A151" s="28"/>
      <c r="B151" s="28"/>
      <c r="C151" s="28"/>
      <c r="D151" s="26" t="s">
        <v>354</v>
      </c>
      <c r="E151" s="26"/>
      <c r="F151" s="26"/>
      <c r="G151" s="26"/>
      <c r="H151" s="26"/>
      <c r="I151" s="26"/>
      <c r="J151" s="26"/>
      <c r="K151" s="26"/>
      <c r="L151" s="26"/>
      <c r="M151" s="26"/>
    </row>
    <row r="152" spans="1:13" ht="15.12" thickBot="1" customHeight="1">
      <c r="A152" s="28"/>
      <c r="B152" s="28"/>
      <c r="C152" s="28"/>
      <c r="D152" s="28"/>
      <c r="E152" s="29"/>
      <c r="F152" s="31" t="s">
        <v>355</v>
      </c>
      <c r="G152" s="31" t="s">
        <v>356</v>
      </c>
      <c r="H152" s="31" t="s">
        <v>357</v>
      </c>
      <c r="I152" s="31" t="s">
        <v>358</v>
      </c>
      <c r="J152" s="31" t="s">
        <v>359</v>
      </c>
      <c r="K152" s="31" t="s">
        <v>360</v>
      </c>
      <c r="L152" s="28"/>
      <c r="M152" s="28"/>
    </row>
    <row r="153" spans="1:13" ht="15.12" thickBot="1" customHeight="1">
      <c r="A153" s="28"/>
      <c r="B153" s="28"/>
      <c r="C153" s="28"/>
      <c r="D153" s="32"/>
      <c r="E153" s="33" t="s">
        <v>361</v>
      </c>
      <c r="F153" s="34">
        <v>1</v>
      </c>
      <c r="G153" s="35">
        <v>22.20</v>
      </c>
      <c r="H153" s="35">
        <v>3.20</v>
      </c>
      <c r="I153" s="35"/>
      <c r="J153" s="37">
        <f ca="1">ROUND(F153*G153*H153,2)</f>
        <v>0</v>
      </c>
      <c r="K153" s="40"/>
      <c r="L153" s="28"/>
      <c r="M153" s="28"/>
    </row>
    <row r="154" spans="1:13" ht="15.12" thickBot="1" customHeight="1">
      <c r="A154" s="28"/>
      <c r="B154" s="28"/>
      <c r="C154" s="28"/>
      <c r="D154" s="32"/>
      <c r="E154" s="8" t="s">
        <v>362</v>
      </c>
      <c r="F154" s="6">
        <v>1</v>
      </c>
      <c r="G154" s="27">
        <v>6.00</v>
      </c>
      <c r="H154" s="27">
        <v>4.20</v>
      </c>
      <c r="I154" s="27"/>
      <c r="J154" s="36">
        <f ca="1">ROUND(F154*G154*H154,2)</f>
        <v>0</v>
      </c>
      <c r="K154" s="38">
        <f ca="1">SUM(J153:J154)</f>
        <v>0</v>
      </c>
      <c r="L154" s="28"/>
      <c r="M154" s="28"/>
    </row>
    <row r="155" spans="1:13" ht="15.48" thickBot="1" customHeight="1">
      <c r="A155" s="15" t="s">
        <v>363</v>
      </c>
      <c r="B155" s="8" t="s">
        <v>364</v>
      </c>
      <c r="C155" s="8" t="s">
        <v>365</v>
      </c>
      <c r="D155" s="26" t="s">
        <v>366</v>
      </c>
      <c r="E155" s="26"/>
      <c r="F155" s="26"/>
      <c r="G155" s="26"/>
      <c r="H155" s="26"/>
      <c r="I155" s="26"/>
      <c r="J155" s="26"/>
      <c r="K155" s="27">
        <f ca="1">SUM(K158:K159)</f>
        <v>0</v>
      </c>
      <c r="L155" s="27">
        <f ca="1">ROUND(7.75*(1+M2/100),2)</f>
        <v>0</v>
      </c>
      <c r="M155" s="27">
        <f ca="1">ROUND(K155*L155,2)</f>
        <v>0</v>
      </c>
    </row>
    <row r="156" spans="1:13" ht="30.60" thickBot="1" customHeight="1">
      <c r="A156" s="28"/>
      <c r="B156" s="28"/>
      <c r="C156" s="28"/>
      <c r="D156" s="26" t="s">
        <v>367</v>
      </c>
      <c r="E156" s="26"/>
      <c r="F156" s="26"/>
      <c r="G156" s="26"/>
      <c r="H156" s="26"/>
      <c r="I156" s="26"/>
      <c r="J156" s="26"/>
      <c r="K156" s="26"/>
      <c r="L156" s="26"/>
      <c r="M156" s="26"/>
    </row>
    <row r="157" spans="1:13" ht="15.12" thickBot="1" customHeight="1">
      <c r="A157" s="28"/>
      <c r="B157" s="28"/>
      <c r="C157" s="28"/>
      <c r="D157" s="28"/>
      <c r="E157" s="29"/>
      <c r="F157" s="31" t="s">
        <v>368</v>
      </c>
      <c r="G157" s="31" t="s">
        <v>369</v>
      </c>
      <c r="H157" s="31" t="s">
        <v>370</v>
      </c>
      <c r="I157" s="31" t="s">
        <v>371</v>
      </c>
      <c r="J157" s="31" t="s">
        <v>372</v>
      </c>
      <c r="K157" s="31" t="s">
        <v>373</v>
      </c>
      <c r="L157" s="28"/>
      <c r="M157" s="28"/>
    </row>
    <row r="158" spans="1:13" ht="30.60" thickBot="1" customHeight="1">
      <c r="A158" s="28"/>
      <c r="B158" s="28"/>
      <c r="C158" s="28"/>
      <c r="D158" s="32"/>
      <c r="E158" s="33" t="s">
        <v>374</v>
      </c>
      <c r="F158" s="34">
        <v>2</v>
      </c>
      <c r="G158" s="35">
        <v>172.76</v>
      </c>
      <c r="H158" s="35"/>
      <c r="I158" s="35"/>
      <c r="J158" s="37">
        <f ca="1">ROUND(F158*G158,2)</f>
        <v>0</v>
      </c>
      <c r="K158" s="40"/>
      <c r="L158" s="28"/>
      <c r="M158" s="28"/>
    </row>
    <row r="159" spans="1:13" ht="21.36" thickBot="1" customHeight="1">
      <c r="A159" s="28"/>
      <c r="B159" s="28"/>
      <c r="C159" s="28"/>
      <c r="D159" s="32"/>
      <c r="E159" s="8" t="s">
        <v>375</v>
      </c>
      <c r="F159" s="6">
        <v>0.05</v>
      </c>
      <c r="G159" s="27">
        <v>345.52</v>
      </c>
      <c r="H159" s="27"/>
      <c r="I159" s="27"/>
      <c r="J159" s="36">
        <f ca="1">ROUND(F159*G159,2)</f>
        <v>0</v>
      </c>
      <c r="K159" s="38">
        <f ca="1">SUM(J158:J159)</f>
        <v>0</v>
      </c>
      <c r="L159" s="28"/>
      <c r="M159" s="28"/>
    </row>
    <row r="160" spans="1:13" ht="15.48" thickBot="1" customHeight="1">
      <c r="A160" s="41"/>
      <c r="B160" s="41"/>
      <c r="C160" s="41"/>
      <c r="D160" s="42" t="s">
        <v>376</v>
      </c>
      <c r="E160" s="43"/>
      <c r="F160" s="43"/>
      <c r="G160" s="43"/>
      <c r="H160" s="43"/>
      <c r="I160" s="43"/>
      <c r="J160" s="43"/>
      <c r="K160" s="43"/>
      <c r="L160" s="44">
        <f ca="1">M111+M135+M144+M150+M155</f>
        <v>0</v>
      </c>
      <c r="M160" s="44">
        <f ca="1">ROUND(L160,2)</f>
        <v>0</v>
      </c>
    </row>
    <row r="161" spans="1:13" ht="15.48" thickBot="1" customHeight="1">
      <c r="A161" s="45" t="s">
        <v>377</v>
      </c>
      <c r="B161" s="45" t="s">
        <v>378</v>
      </c>
      <c r="C161" s="46"/>
      <c r="D161" s="47" t="s">
        <v>379</v>
      </c>
      <c r="E161" s="47"/>
      <c r="F161" s="47"/>
      <c r="G161" s="47"/>
      <c r="H161" s="47"/>
      <c r="I161" s="47"/>
      <c r="J161" s="47"/>
      <c r="K161" s="46"/>
      <c r="L161" s="48">
        <f ca="1">L392</f>
        <v>0</v>
      </c>
      <c r="M161" s="48">
        <f ca="1">ROUND(L161,2)</f>
        <v>0</v>
      </c>
    </row>
    <row r="162" spans="1:13" ht="15.48" thickBot="1" customHeight="1">
      <c r="A162" s="50" t="s">
        <v>380</v>
      </c>
      <c r="B162" s="50" t="s">
        <v>381</v>
      </c>
      <c r="C162" s="51"/>
      <c r="D162" s="52" t="s">
        <v>382</v>
      </c>
      <c r="E162" s="52"/>
      <c r="F162" s="52"/>
      <c r="G162" s="52"/>
      <c r="H162" s="52"/>
      <c r="I162" s="52"/>
      <c r="J162" s="52"/>
      <c r="K162" s="51"/>
      <c r="L162" s="53">
        <f ca="1">L263</f>
        <v>0</v>
      </c>
      <c r="M162" s="53">
        <f ca="1">ROUND(L162,2)</f>
        <v>0</v>
      </c>
    </row>
    <row r="163" spans="1:13" ht="15.48" thickBot="1" customHeight="1">
      <c r="A163" s="15" t="s">
        <v>383</v>
      </c>
      <c r="B163" s="8" t="s">
        <v>384</v>
      </c>
      <c r="C163" s="8" t="s">
        <v>385</v>
      </c>
      <c r="D163" s="26" t="s">
        <v>386</v>
      </c>
      <c r="E163" s="26"/>
      <c r="F163" s="26"/>
      <c r="G163" s="26"/>
      <c r="H163" s="26"/>
      <c r="I163" s="26"/>
      <c r="J163" s="26"/>
      <c r="K163" s="27">
        <f ca="1">SUM(K166:K167)</f>
        <v>0</v>
      </c>
      <c r="L163" s="27">
        <f ca="1">ROUND(85.22*(1+M2/100),2)</f>
        <v>0</v>
      </c>
      <c r="M163" s="27">
        <f ca="1">ROUND(K163*L163,2)</f>
        <v>0</v>
      </c>
    </row>
    <row r="164" spans="1:13" ht="12.12" thickBot="1" customHeight="1">
      <c r="A164" s="28"/>
      <c r="B164" s="28"/>
      <c r="C164" s="28"/>
      <c r="D164" s="26" t="s">
        <v>387</v>
      </c>
      <c r="E164" s="26"/>
      <c r="F164" s="26"/>
      <c r="G164" s="26"/>
      <c r="H164" s="26"/>
      <c r="I164" s="26"/>
      <c r="J164" s="26"/>
      <c r="K164" s="26"/>
      <c r="L164" s="26"/>
      <c r="M164" s="26"/>
    </row>
    <row r="165" spans="1:13" ht="15.12" thickBot="1" customHeight="1">
      <c r="A165" s="28"/>
      <c r="B165" s="28"/>
      <c r="C165" s="28"/>
      <c r="D165" s="28"/>
      <c r="E165" s="29"/>
      <c r="F165" s="31" t="s">
        <v>388</v>
      </c>
      <c r="G165" s="31" t="s">
        <v>389</v>
      </c>
      <c r="H165" s="31" t="s">
        <v>390</v>
      </c>
      <c r="I165" s="31" t="s">
        <v>391</v>
      </c>
      <c r="J165" s="31" t="s">
        <v>392</v>
      </c>
      <c r="K165" s="31" t="s">
        <v>393</v>
      </c>
      <c r="L165" s="28"/>
      <c r="M165" s="28"/>
    </row>
    <row r="166" spans="1:13" ht="21.36" thickBot="1" customHeight="1">
      <c r="A166" s="28"/>
      <c r="B166" s="28"/>
      <c r="C166" s="28"/>
      <c r="D166" s="32"/>
      <c r="E166" s="33" t="s">
        <v>394</v>
      </c>
      <c r="F166" s="34">
        <v>1</v>
      </c>
      <c r="G166" s="35"/>
      <c r="H166" s="35"/>
      <c r="I166" s="35"/>
      <c r="J166" s="37">
        <f ca="1">ROUND(F166,2)</f>
        <v>0</v>
      </c>
      <c r="K166" s="40"/>
      <c r="L166" s="28"/>
      <c r="M166" s="28"/>
    </row>
    <row r="167" spans="1:13" ht="15.12" thickBot="1" customHeight="1">
      <c r="A167" s="28"/>
      <c r="B167" s="28"/>
      <c r="C167" s="28"/>
      <c r="D167" s="32"/>
      <c r="E167" s="8" t="s">
        <v>395</v>
      </c>
      <c r="F167" s="6">
        <v>2</v>
      </c>
      <c r="G167" s="27"/>
      <c r="H167" s="27"/>
      <c r="I167" s="27"/>
      <c r="J167" s="36">
        <f ca="1">ROUND(F167,2)</f>
        <v>0</v>
      </c>
      <c r="K167" s="38">
        <f ca="1">SUM(J166:J167)</f>
        <v>0</v>
      </c>
      <c r="L167" s="28"/>
      <c r="M167" s="28"/>
    </row>
    <row r="168" spans="1:13" ht="15.48" thickBot="1" customHeight="1">
      <c r="A168" s="15" t="s">
        <v>396</v>
      </c>
      <c r="B168" s="8" t="s">
        <v>397</v>
      </c>
      <c r="C168" s="8" t="s">
        <v>398</v>
      </c>
      <c r="D168" s="26" t="s">
        <v>399</v>
      </c>
      <c r="E168" s="26"/>
      <c r="F168" s="26"/>
      <c r="G168" s="26"/>
      <c r="H168" s="26"/>
      <c r="I168" s="26"/>
      <c r="J168" s="26"/>
      <c r="K168" s="27">
        <f ca="1">SUM(K171:K172)</f>
        <v>0</v>
      </c>
      <c r="L168" s="27">
        <f ca="1">ROUND(15.31*(1+M2/100),2)</f>
        <v>0</v>
      </c>
      <c r="M168" s="27">
        <f ca="1">ROUND(K168*L168,2)</f>
        <v>0</v>
      </c>
    </row>
    <row r="169" spans="1:13" ht="30.60" thickBot="1" customHeight="1">
      <c r="A169" s="28"/>
      <c r="B169" s="28"/>
      <c r="C169" s="28"/>
      <c r="D169" s="26" t="s">
        <v>400</v>
      </c>
      <c r="E169" s="26"/>
      <c r="F169" s="26"/>
      <c r="G169" s="26"/>
      <c r="H169" s="26"/>
      <c r="I169" s="26"/>
      <c r="J169" s="26"/>
      <c r="K169" s="26"/>
      <c r="L169" s="26"/>
      <c r="M169" s="26"/>
    </row>
    <row r="170" spans="1:13" ht="15.12" thickBot="1" customHeight="1">
      <c r="A170" s="28"/>
      <c r="B170" s="28"/>
      <c r="C170" s="28"/>
      <c r="D170" s="28"/>
      <c r="E170" s="29"/>
      <c r="F170" s="31" t="s">
        <v>401</v>
      </c>
      <c r="G170" s="31" t="s">
        <v>402</v>
      </c>
      <c r="H170" s="31" t="s">
        <v>403</v>
      </c>
      <c r="I170" s="31" t="s">
        <v>404</v>
      </c>
      <c r="J170" s="31" t="s">
        <v>405</v>
      </c>
      <c r="K170" s="31" t="s">
        <v>406</v>
      </c>
      <c r="L170" s="28"/>
      <c r="M170" s="28"/>
    </row>
    <row r="171" spans="1:13" ht="21.36" thickBot="1" customHeight="1">
      <c r="A171" s="28"/>
      <c r="B171" s="28"/>
      <c r="C171" s="28"/>
      <c r="D171" s="32"/>
      <c r="E171" s="33" t="s">
        <v>407</v>
      </c>
      <c r="F171" s="34"/>
      <c r="G171" s="35">
        <v>18.00</v>
      </c>
      <c r="H171" s="35"/>
      <c r="I171" s="35"/>
      <c r="J171" s="37">
        <f ca="1">ROUND(G171,2)</f>
        <v>0</v>
      </c>
      <c r="K171" s="40"/>
      <c r="L171" s="28"/>
      <c r="M171" s="28"/>
    </row>
    <row r="172" spans="1:13" ht="15.12" thickBot="1" customHeight="1">
      <c r="A172" s="28"/>
      <c r="B172" s="28"/>
      <c r="C172" s="28"/>
      <c r="D172" s="32"/>
      <c r="E172" s="8" t="s">
        <v>408</v>
      </c>
      <c r="F172" s="6"/>
      <c r="G172" s="27">
        <v>8.00</v>
      </c>
      <c r="H172" s="27"/>
      <c r="I172" s="27"/>
      <c r="J172" s="36">
        <f ca="1">ROUND(G172,2)</f>
        <v>0</v>
      </c>
      <c r="K172" s="38">
        <f ca="1">SUM(J171:J172)</f>
        <v>0</v>
      </c>
      <c r="L172" s="28"/>
      <c r="M172" s="28"/>
    </row>
    <row r="173" spans="1:13" ht="15.48" thickBot="1" customHeight="1">
      <c r="A173" s="15" t="s">
        <v>409</v>
      </c>
      <c r="B173" s="8" t="s">
        <v>410</v>
      </c>
      <c r="C173" s="8" t="s">
        <v>411</v>
      </c>
      <c r="D173" s="26" t="s">
        <v>412</v>
      </c>
      <c r="E173" s="26"/>
      <c r="F173" s="26"/>
      <c r="G173" s="26"/>
      <c r="H173" s="26"/>
      <c r="I173" s="26"/>
      <c r="J173" s="26"/>
      <c r="K173" s="27">
        <f ca="1">SUM(K176:K176)</f>
        <v>0</v>
      </c>
      <c r="L173" s="27">
        <f ca="1">ROUND(8.21*(1+M2/100),2)</f>
        <v>0</v>
      </c>
      <c r="M173" s="27">
        <f ca="1">ROUND(K173*L173,2)</f>
        <v>0</v>
      </c>
    </row>
    <row r="174" spans="1:13" ht="30.60" thickBot="1" customHeight="1">
      <c r="A174" s="28"/>
      <c r="B174" s="28"/>
      <c r="C174" s="28"/>
      <c r="D174" s="26" t="s">
        <v>413</v>
      </c>
      <c r="E174" s="26"/>
      <c r="F174" s="26"/>
      <c r="G174" s="26"/>
      <c r="H174" s="26"/>
      <c r="I174" s="26"/>
      <c r="J174" s="26"/>
      <c r="K174" s="26"/>
      <c r="L174" s="26"/>
      <c r="M174" s="26"/>
    </row>
    <row r="175" spans="1:13" ht="15.12" thickBot="1" customHeight="1">
      <c r="A175" s="28"/>
      <c r="B175" s="28"/>
      <c r="C175" s="28"/>
      <c r="D175" s="28"/>
      <c r="E175" s="29"/>
      <c r="F175" s="31" t="s">
        <v>414</v>
      </c>
      <c r="G175" s="31" t="s">
        <v>415</v>
      </c>
      <c r="H175" s="31" t="s">
        <v>416</v>
      </c>
      <c r="I175" s="31" t="s">
        <v>417</v>
      </c>
      <c r="J175" s="31" t="s">
        <v>418</v>
      </c>
      <c r="K175" s="31" t="s">
        <v>419</v>
      </c>
      <c r="L175" s="28"/>
      <c r="M175" s="28"/>
    </row>
    <row r="176" spans="1:13" ht="21.36" thickBot="1" customHeight="1">
      <c r="A176" s="28"/>
      <c r="B176" s="28"/>
      <c r="C176" s="28"/>
      <c r="D176" s="32"/>
      <c r="E176" s="33" t="s">
        <v>420</v>
      </c>
      <c r="F176" s="34"/>
      <c r="G176" s="35">
        <v>30.00</v>
      </c>
      <c r="H176" s="35"/>
      <c r="I176" s="35"/>
      <c r="J176" s="37">
        <f ca="1">ROUND(G176,2)</f>
        <v>0</v>
      </c>
      <c r="K176" s="39">
        <f ca="1">SUM(J176:J176)</f>
        <v>0</v>
      </c>
      <c r="L176" s="28"/>
      <c r="M176" s="28"/>
    </row>
    <row r="177" spans="1:13" ht="15.48" thickBot="1" customHeight="1">
      <c r="A177" s="15" t="s">
        <v>421</v>
      </c>
      <c r="B177" s="8" t="s">
        <v>422</v>
      </c>
      <c r="C177" s="8" t="s">
        <v>423</v>
      </c>
      <c r="D177" s="26" t="s">
        <v>424</v>
      </c>
      <c r="E177" s="26"/>
      <c r="F177" s="26"/>
      <c r="G177" s="26"/>
      <c r="H177" s="26"/>
      <c r="I177" s="26"/>
      <c r="J177" s="26"/>
      <c r="K177" s="27">
        <f ca="1">SUM(K180:K180)</f>
        <v>0</v>
      </c>
      <c r="L177" s="27">
        <f ca="1">ROUND(261.98*(1+M2/100),2)</f>
        <v>0</v>
      </c>
      <c r="M177" s="27">
        <f ca="1">ROUND(K177*L177,2)</f>
        <v>0</v>
      </c>
    </row>
    <row r="178" spans="1:13" ht="49.08" thickBot="1" customHeight="1">
      <c r="A178" s="28"/>
      <c r="B178" s="28"/>
      <c r="C178" s="28"/>
      <c r="D178" s="26" t="s">
        <v>425</v>
      </c>
      <c r="E178" s="26"/>
      <c r="F178" s="26"/>
      <c r="G178" s="26"/>
      <c r="H178" s="26"/>
      <c r="I178" s="26"/>
      <c r="J178" s="26"/>
      <c r="K178" s="26"/>
      <c r="L178" s="26"/>
      <c r="M178" s="26"/>
    </row>
    <row r="179" spans="1:13" ht="15.12" thickBot="1" customHeight="1">
      <c r="A179" s="28"/>
      <c r="B179" s="28"/>
      <c r="C179" s="28"/>
      <c r="D179" s="28"/>
      <c r="E179" s="29"/>
      <c r="F179" s="31" t="s">
        <v>426</v>
      </c>
      <c r="G179" s="31" t="s">
        <v>427</v>
      </c>
      <c r="H179" s="31" t="s">
        <v>428</v>
      </c>
      <c r="I179" s="31" t="s">
        <v>429</v>
      </c>
      <c r="J179" s="31" t="s">
        <v>430</v>
      </c>
      <c r="K179" s="31" t="s">
        <v>431</v>
      </c>
      <c r="L179" s="28"/>
      <c r="M179" s="28"/>
    </row>
    <row r="180" spans="1:13" ht="15.12" thickBot="1" customHeight="1">
      <c r="A180" s="28"/>
      <c r="B180" s="28"/>
      <c r="C180" s="28"/>
      <c r="D180" s="32"/>
      <c r="E180" s="33" t="s">
        <v>432</v>
      </c>
      <c r="F180" s="34">
        <v>1</v>
      </c>
      <c r="G180" s="35"/>
      <c r="H180" s="35"/>
      <c r="I180" s="35"/>
      <c r="J180" s="37">
        <f ca="1">ROUND(F180,2)</f>
        <v>0</v>
      </c>
      <c r="K180" s="39">
        <f ca="1">SUM(J180:J180)</f>
        <v>0</v>
      </c>
      <c r="L180" s="28"/>
      <c r="M180" s="28"/>
    </row>
    <row r="181" spans="1:13" ht="15.48" thickBot="1" customHeight="1">
      <c r="A181" s="15" t="s">
        <v>433</v>
      </c>
      <c r="B181" s="8" t="s">
        <v>434</v>
      </c>
      <c r="C181" s="8" t="s">
        <v>435</v>
      </c>
      <c r="D181" s="26" t="s">
        <v>436</v>
      </c>
      <c r="E181" s="26"/>
      <c r="F181" s="26"/>
      <c r="G181" s="26"/>
      <c r="H181" s="26"/>
      <c r="I181" s="26"/>
      <c r="J181" s="26"/>
      <c r="K181" s="27">
        <f ca="1">SUM(K184:K184)</f>
        <v>0</v>
      </c>
      <c r="L181" s="27">
        <f ca="1">ROUND(31.01*(1+M2/100),2)</f>
        <v>0</v>
      </c>
      <c r="M181" s="27">
        <f ca="1">ROUND(K181*L181,2)</f>
        <v>0</v>
      </c>
    </row>
    <row r="182" spans="1:13" ht="30.60" thickBot="1" customHeight="1">
      <c r="A182" s="28"/>
      <c r="B182" s="28"/>
      <c r="C182" s="28"/>
      <c r="D182" s="26" t="s">
        <v>437</v>
      </c>
      <c r="E182" s="26"/>
      <c r="F182" s="26"/>
      <c r="G182" s="26"/>
      <c r="H182" s="26"/>
      <c r="I182" s="26"/>
      <c r="J182" s="26"/>
      <c r="K182" s="26"/>
      <c r="L182" s="26"/>
      <c r="M182" s="26"/>
    </row>
    <row r="183" spans="1:13" ht="15.12" thickBot="1" customHeight="1">
      <c r="A183" s="28"/>
      <c r="B183" s="28"/>
      <c r="C183" s="28"/>
      <c r="D183" s="28"/>
      <c r="E183" s="29"/>
      <c r="F183" s="31" t="s">
        <v>438</v>
      </c>
      <c r="G183" s="31" t="s">
        <v>439</v>
      </c>
      <c r="H183" s="31" t="s">
        <v>440</v>
      </c>
      <c r="I183" s="31" t="s">
        <v>441</v>
      </c>
      <c r="J183" s="31" t="s">
        <v>442</v>
      </c>
      <c r="K183" s="31" t="s">
        <v>443</v>
      </c>
      <c r="L183" s="28"/>
      <c r="M183" s="28"/>
    </row>
    <row r="184" spans="1:13" ht="21.36" thickBot="1" customHeight="1">
      <c r="A184" s="28"/>
      <c r="B184" s="28"/>
      <c r="C184" s="28"/>
      <c r="D184" s="32"/>
      <c r="E184" s="33" t="s">
        <v>444</v>
      </c>
      <c r="F184" s="34">
        <v>1</v>
      </c>
      <c r="G184" s="35"/>
      <c r="H184" s="35"/>
      <c r="I184" s="35"/>
      <c r="J184" s="37">
        <f ca="1">ROUND(F184,2)</f>
        <v>0</v>
      </c>
      <c r="K184" s="39">
        <f ca="1">SUM(J184:J184)</f>
        <v>0</v>
      </c>
      <c r="L184" s="28"/>
      <c r="M184" s="28"/>
    </row>
    <row r="185" spans="1:13" ht="15.48" thickBot="1" customHeight="1">
      <c r="A185" s="15" t="s">
        <v>445</v>
      </c>
      <c r="B185" s="8" t="s">
        <v>446</v>
      </c>
      <c r="C185" s="8" t="s">
        <v>447</v>
      </c>
      <c r="D185" s="26" t="s">
        <v>448</v>
      </c>
      <c r="E185" s="26"/>
      <c r="F185" s="26"/>
      <c r="G185" s="26"/>
      <c r="H185" s="26"/>
      <c r="I185" s="26"/>
      <c r="J185" s="26"/>
      <c r="K185" s="27">
        <f ca="1">SUM(K188:K188)</f>
        <v>0</v>
      </c>
      <c r="L185" s="27">
        <f ca="1">ROUND(83.24*(1+M2/100),2)</f>
        <v>0</v>
      </c>
      <c r="M185" s="27">
        <f ca="1">ROUND(K185*L185,2)</f>
        <v>0</v>
      </c>
    </row>
    <row r="186" spans="1:13" ht="30.60" thickBot="1" customHeight="1">
      <c r="A186" s="28"/>
      <c r="B186" s="28"/>
      <c r="C186" s="28"/>
      <c r="D186" s="26" t="s">
        <v>449</v>
      </c>
      <c r="E186" s="26"/>
      <c r="F186" s="26"/>
      <c r="G186" s="26"/>
      <c r="H186" s="26"/>
      <c r="I186" s="26"/>
      <c r="J186" s="26"/>
      <c r="K186" s="26"/>
      <c r="L186" s="26"/>
      <c r="M186" s="26"/>
    </row>
    <row r="187" spans="1:13" ht="15.12" thickBot="1" customHeight="1">
      <c r="A187" s="28"/>
      <c r="B187" s="28"/>
      <c r="C187" s="28"/>
      <c r="D187" s="28"/>
      <c r="E187" s="29"/>
      <c r="F187" s="31" t="s">
        <v>450</v>
      </c>
      <c r="G187" s="31" t="s">
        <v>451</v>
      </c>
      <c r="H187" s="31" t="s">
        <v>452</v>
      </c>
      <c r="I187" s="31" t="s">
        <v>453</v>
      </c>
      <c r="J187" s="31" t="s">
        <v>454</v>
      </c>
      <c r="K187" s="31" t="s">
        <v>455</v>
      </c>
      <c r="L187" s="28"/>
      <c r="M187" s="28"/>
    </row>
    <row r="188" spans="1:13" ht="21.36" thickBot="1" customHeight="1">
      <c r="A188" s="28"/>
      <c r="B188" s="28"/>
      <c r="C188" s="28"/>
      <c r="D188" s="32"/>
      <c r="E188" s="33" t="s">
        <v>456</v>
      </c>
      <c r="F188" s="34">
        <v>1</v>
      </c>
      <c r="G188" s="35"/>
      <c r="H188" s="35"/>
      <c r="I188" s="35"/>
      <c r="J188" s="37">
        <f ca="1">ROUND(F188,2)</f>
        <v>0</v>
      </c>
      <c r="K188" s="39">
        <f ca="1">SUM(J188:J188)</f>
        <v>0</v>
      </c>
      <c r="L188" s="28"/>
      <c r="M188" s="28"/>
    </row>
    <row r="189" spans="1:13" ht="15.48" thickBot="1" customHeight="1">
      <c r="A189" s="15" t="s">
        <v>457</v>
      </c>
      <c r="B189" s="8" t="s">
        <v>458</v>
      </c>
      <c r="C189" s="8" t="s">
        <v>459</v>
      </c>
      <c r="D189" s="26" t="s">
        <v>460</v>
      </c>
      <c r="E189" s="26"/>
      <c r="F189" s="26"/>
      <c r="G189" s="26"/>
      <c r="H189" s="26"/>
      <c r="I189" s="26"/>
      <c r="J189" s="26"/>
      <c r="K189" s="27">
        <f ca="1">SUM(K192:K192)</f>
        <v>0</v>
      </c>
      <c r="L189" s="27">
        <f ca="1">ROUND(66.64*(1+M2/100),2)</f>
        <v>0</v>
      </c>
      <c r="M189" s="27">
        <f ca="1">ROUND(K189*L189,2)</f>
        <v>0</v>
      </c>
    </row>
    <row r="190" spans="1:13" ht="30.60" thickBot="1" customHeight="1">
      <c r="A190" s="28"/>
      <c r="B190" s="28"/>
      <c r="C190" s="28"/>
      <c r="D190" s="26" t="s">
        <v>461</v>
      </c>
      <c r="E190" s="26"/>
      <c r="F190" s="26"/>
      <c r="G190" s="26"/>
      <c r="H190" s="26"/>
      <c r="I190" s="26"/>
      <c r="J190" s="26"/>
      <c r="K190" s="26"/>
      <c r="L190" s="26"/>
      <c r="M190" s="26"/>
    </row>
    <row r="191" spans="1:13" ht="15.12" thickBot="1" customHeight="1">
      <c r="A191" s="28"/>
      <c r="B191" s="28"/>
      <c r="C191" s="28"/>
      <c r="D191" s="28"/>
      <c r="E191" s="29"/>
      <c r="F191" s="31" t="s">
        <v>462</v>
      </c>
      <c r="G191" s="31" t="s">
        <v>463</v>
      </c>
      <c r="H191" s="31" t="s">
        <v>464</v>
      </c>
      <c r="I191" s="31" t="s">
        <v>465</v>
      </c>
      <c r="J191" s="31" t="s">
        <v>466</v>
      </c>
      <c r="K191" s="31" t="s">
        <v>467</v>
      </c>
      <c r="L191" s="28"/>
      <c r="M191" s="28"/>
    </row>
    <row r="192" spans="1:13" ht="21.36" thickBot="1" customHeight="1">
      <c r="A192" s="28"/>
      <c r="B192" s="28"/>
      <c r="C192" s="28"/>
      <c r="D192" s="32"/>
      <c r="E192" s="33" t="s">
        <v>468</v>
      </c>
      <c r="F192" s="34">
        <v>1</v>
      </c>
      <c r="G192" s="35"/>
      <c r="H192" s="35"/>
      <c r="I192" s="35"/>
      <c r="J192" s="37">
        <f ca="1">ROUND(F192,2)</f>
        <v>0</v>
      </c>
      <c r="K192" s="39">
        <f ca="1">SUM(J192:J192)</f>
        <v>0</v>
      </c>
      <c r="L192" s="28"/>
      <c r="M192" s="28"/>
    </row>
    <row r="193" spans="1:13" ht="15.48" thickBot="1" customHeight="1">
      <c r="A193" s="15" t="s">
        <v>469</v>
      </c>
      <c r="B193" s="8" t="s">
        <v>470</v>
      </c>
      <c r="C193" s="8" t="s">
        <v>471</v>
      </c>
      <c r="D193" s="26" t="s">
        <v>472</v>
      </c>
      <c r="E193" s="26"/>
      <c r="F193" s="26"/>
      <c r="G193" s="26"/>
      <c r="H193" s="26"/>
      <c r="I193" s="26"/>
      <c r="J193" s="26"/>
      <c r="K193" s="27">
        <f ca="1">SUM(K196:K196)</f>
        <v>0</v>
      </c>
      <c r="L193" s="27">
        <f ca="1">ROUND(20.84*(1+M2/100),2)</f>
        <v>0</v>
      </c>
      <c r="M193" s="27">
        <f ca="1">ROUND(K193*L193,2)</f>
        <v>0</v>
      </c>
    </row>
    <row r="194" spans="1:13" ht="30.60" thickBot="1" customHeight="1">
      <c r="A194" s="28"/>
      <c r="B194" s="28"/>
      <c r="C194" s="28"/>
      <c r="D194" s="26" t="s">
        <v>473</v>
      </c>
      <c r="E194" s="26"/>
      <c r="F194" s="26"/>
      <c r="G194" s="26"/>
      <c r="H194" s="26"/>
      <c r="I194" s="26"/>
      <c r="J194" s="26"/>
      <c r="K194" s="26"/>
      <c r="L194" s="26"/>
      <c r="M194" s="26"/>
    </row>
    <row r="195" spans="1:13" ht="15.12" thickBot="1" customHeight="1">
      <c r="A195" s="28"/>
      <c r="B195" s="28"/>
      <c r="C195" s="28"/>
      <c r="D195" s="28"/>
      <c r="E195" s="29"/>
      <c r="F195" s="31" t="s">
        <v>474</v>
      </c>
      <c r="G195" s="31" t="s">
        <v>475</v>
      </c>
      <c r="H195" s="31" t="s">
        <v>476</v>
      </c>
      <c r="I195" s="31" t="s">
        <v>477</v>
      </c>
      <c r="J195" s="31" t="s">
        <v>478</v>
      </c>
      <c r="K195" s="31" t="s">
        <v>479</v>
      </c>
      <c r="L195" s="28"/>
      <c r="M195" s="28"/>
    </row>
    <row r="196" spans="1:13" ht="15.12" thickBot="1" customHeight="1">
      <c r="A196" s="28"/>
      <c r="B196" s="28"/>
      <c r="C196" s="28"/>
      <c r="D196" s="32"/>
      <c r="E196" s="33" t="s">
        <v>480</v>
      </c>
      <c r="F196" s="34">
        <v>1</v>
      </c>
      <c r="G196" s="35"/>
      <c r="H196" s="35"/>
      <c r="I196" s="35"/>
      <c r="J196" s="37">
        <f ca="1">ROUND(F196,2)</f>
        <v>0</v>
      </c>
      <c r="K196" s="39">
        <f ca="1">SUM(J196:J196)</f>
        <v>0</v>
      </c>
      <c r="L196" s="28"/>
      <c r="M196" s="28"/>
    </row>
    <row r="197" spans="1:13" ht="15.48" thickBot="1" customHeight="1">
      <c r="A197" s="15" t="s">
        <v>481</v>
      </c>
      <c r="B197" s="8" t="s">
        <v>482</v>
      </c>
      <c r="C197" s="8" t="s">
        <v>483</v>
      </c>
      <c r="D197" s="26" t="s">
        <v>484</v>
      </c>
      <c r="E197" s="26"/>
      <c r="F197" s="26"/>
      <c r="G197" s="26"/>
      <c r="H197" s="26"/>
      <c r="I197" s="26"/>
      <c r="J197" s="26"/>
      <c r="K197" s="27">
        <f ca="1">SUM(K200:K200)</f>
        <v>0</v>
      </c>
      <c r="L197" s="27">
        <f ca="1">ROUND(19.21*(1+M2/100),2)</f>
        <v>0</v>
      </c>
      <c r="M197" s="27">
        <f ca="1">ROUND(K197*L197,2)</f>
        <v>0</v>
      </c>
    </row>
    <row r="198" spans="1:13" ht="30.60" thickBot="1" customHeight="1">
      <c r="A198" s="28"/>
      <c r="B198" s="28"/>
      <c r="C198" s="28"/>
      <c r="D198" s="26" t="s">
        <v>485</v>
      </c>
      <c r="E198" s="26"/>
      <c r="F198" s="26"/>
      <c r="G198" s="26"/>
      <c r="H198" s="26"/>
      <c r="I198" s="26"/>
      <c r="J198" s="26"/>
      <c r="K198" s="26"/>
      <c r="L198" s="26"/>
      <c r="M198" s="26"/>
    </row>
    <row r="199" spans="1:13" ht="15.12" thickBot="1" customHeight="1">
      <c r="A199" s="28"/>
      <c r="B199" s="28"/>
      <c r="C199" s="28"/>
      <c r="D199" s="28"/>
      <c r="E199" s="29"/>
      <c r="F199" s="31" t="s">
        <v>486</v>
      </c>
      <c r="G199" s="31" t="s">
        <v>487</v>
      </c>
      <c r="H199" s="31" t="s">
        <v>488</v>
      </c>
      <c r="I199" s="31" t="s">
        <v>489</v>
      </c>
      <c r="J199" s="31" t="s">
        <v>490</v>
      </c>
      <c r="K199" s="31" t="s">
        <v>491</v>
      </c>
      <c r="L199" s="28"/>
      <c r="M199" s="28"/>
    </row>
    <row r="200" spans="1:13" ht="15.12" thickBot="1" customHeight="1">
      <c r="A200" s="28"/>
      <c r="B200" s="28"/>
      <c r="C200" s="28"/>
      <c r="D200" s="32"/>
      <c r="E200" s="33" t="s">
        <v>492</v>
      </c>
      <c r="F200" s="34">
        <v>1</v>
      </c>
      <c r="G200" s="35"/>
      <c r="H200" s="35"/>
      <c r="I200" s="35"/>
      <c r="J200" s="37">
        <f ca="1">ROUND(F200,2)</f>
        <v>0</v>
      </c>
      <c r="K200" s="39">
        <f ca="1">SUM(J200:J200)</f>
        <v>0</v>
      </c>
      <c r="L200" s="28"/>
      <c r="M200" s="28"/>
    </row>
    <row r="201" spans="1:13" ht="21.36" thickBot="1" customHeight="1">
      <c r="A201" s="15" t="s">
        <v>493</v>
      </c>
      <c r="B201" s="8" t="s">
        <v>494</v>
      </c>
      <c r="C201" s="8" t="s">
        <v>495</v>
      </c>
      <c r="D201" s="26" t="s">
        <v>496</v>
      </c>
      <c r="E201" s="26"/>
      <c r="F201" s="26"/>
      <c r="G201" s="26"/>
      <c r="H201" s="26"/>
      <c r="I201" s="26"/>
      <c r="J201" s="26"/>
      <c r="K201" s="27">
        <f ca="1">SUM(K204:K204)</f>
        <v>0</v>
      </c>
      <c r="L201" s="27">
        <f ca="1">ROUND(327.35*(1+M2/100),2)</f>
        <v>0</v>
      </c>
      <c r="M201" s="27">
        <f ca="1">ROUND(K201*L201,2)</f>
        <v>0</v>
      </c>
    </row>
    <row r="202" spans="1:13" ht="58.32" thickBot="1" customHeight="1">
      <c r="A202" s="28"/>
      <c r="B202" s="28"/>
      <c r="C202" s="28"/>
      <c r="D202" s="26" t="s">
        <v>497</v>
      </c>
      <c r="E202" s="26"/>
      <c r="F202" s="26"/>
      <c r="G202" s="26"/>
      <c r="H202" s="26"/>
      <c r="I202" s="26"/>
      <c r="J202" s="26"/>
      <c r="K202" s="26"/>
      <c r="L202" s="26"/>
      <c r="M202" s="26"/>
    </row>
    <row r="203" spans="1:13" ht="15.12" thickBot="1" customHeight="1">
      <c r="A203" s="28"/>
      <c r="B203" s="28"/>
      <c r="C203" s="28"/>
      <c r="D203" s="28"/>
      <c r="E203" s="29"/>
      <c r="F203" s="31" t="s">
        <v>498</v>
      </c>
      <c r="G203" s="31" t="s">
        <v>499</v>
      </c>
      <c r="H203" s="31" t="s">
        <v>500</v>
      </c>
      <c r="I203" s="31" t="s">
        <v>501</v>
      </c>
      <c r="J203" s="31" t="s">
        <v>502</v>
      </c>
      <c r="K203" s="31" t="s">
        <v>503</v>
      </c>
      <c r="L203" s="28"/>
      <c r="M203" s="28"/>
    </row>
    <row r="204" spans="1:13" ht="15.12" thickBot="1" customHeight="1">
      <c r="A204" s="28"/>
      <c r="B204" s="28"/>
      <c r="C204" s="28"/>
      <c r="D204" s="32"/>
      <c r="E204" s="33" t="s">
        <v>504</v>
      </c>
      <c r="F204" s="34">
        <v>1</v>
      </c>
      <c r="G204" s="35"/>
      <c r="H204" s="35"/>
      <c r="I204" s="35"/>
      <c r="J204" s="37">
        <f ca="1">ROUND(F204,2)</f>
        <v>0</v>
      </c>
      <c r="K204" s="39">
        <f ca="1">SUM(J204:J204)</f>
        <v>0</v>
      </c>
      <c r="L204" s="28"/>
      <c r="M204" s="28"/>
    </row>
    <row r="205" spans="1:13" ht="15.48" thickBot="1" customHeight="1">
      <c r="A205" s="15" t="s">
        <v>505</v>
      </c>
      <c r="B205" s="8" t="s">
        <v>506</v>
      </c>
      <c r="C205" s="8" t="s">
        <v>507</v>
      </c>
      <c r="D205" s="26" t="s">
        <v>508</v>
      </c>
      <c r="E205" s="26"/>
      <c r="F205" s="26"/>
      <c r="G205" s="26"/>
      <c r="H205" s="26"/>
      <c r="I205" s="26"/>
      <c r="J205" s="26"/>
      <c r="K205" s="27">
        <f ca="1">SUM(K208:K208)</f>
        <v>0</v>
      </c>
      <c r="L205" s="27">
        <f ca="1">ROUND(40.21*(1+M2/100),2)</f>
        <v>0</v>
      </c>
      <c r="M205" s="27">
        <f ca="1">ROUND(K205*L205,2)</f>
        <v>0</v>
      </c>
    </row>
    <row r="206" spans="1:13" ht="21.36" thickBot="1" customHeight="1">
      <c r="A206" s="28"/>
      <c r="B206" s="28"/>
      <c r="C206" s="28"/>
      <c r="D206" s="26" t="s">
        <v>509</v>
      </c>
      <c r="E206" s="26"/>
      <c r="F206" s="26"/>
      <c r="G206" s="26"/>
      <c r="H206" s="26"/>
      <c r="I206" s="26"/>
      <c r="J206" s="26"/>
      <c r="K206" s="26"/>
      <c r="L206" s="26"/>
      <c r="M206" s="26"/>
    </row>
    <row r="207" spans="1:13" ht="15.12" thickBot="1" customHeight="1">
      <c r="A207" s="28"/>
      <c r="B207" s="28"/>
      <c r="C207" s="28"/>
      <c r="D207" s="28"/>
      <c r="E207" s="29"/>
      <c r="F207" s="31" t="s">
        <v>510</v>
      </c>
      <c r="G207" s="31" t="s">
        <v>511</v>
      </c>
      <c r="H207" s="31" t="s">
        <v>512</v>
      </c>
      <c r="I207" s="31" t="s">
        <v>513</v>
      </c>
      <c r="J207" s="31" t="s">
        <v>514</v>
      </c>
      <c r="K207" s="31" t="s">
        <v>515</v>
      </c>
      <c r="L207" s="28"/>
      <c r="M207" s="28"/>
    </row>
    <row r="208" spans="1:13" ht="15.12" thickBot="1" customHeight="1">
      <c r="A208" s="28"/>
      <c r="B208" s="28"/>
      <c r="C208" s="28"/>
      <c r="D208" s="32"/>
      <c r="E208" s="33" t="s">
        <v>516</v>
      </c>
      <c r="F208" s="34">
        <v>1</v>
      </c>
      <c r="G208" s="35"/>
      <c r="H208" s="35"/>
      <c r="I208" s="35"/>
      <c r="J208" s="37">
        <f ca="1">ROUND(F208,2)</f>
        <v>0</v>
      </c>
      <c r="K208" s="39">
        <f ca="1">SUM(J208:J208)</f>
        <v>0</v>
      </c>
      <c r="L208" s="28"/>
      <c r="M208" s="28"/>
    </row>
    <row r="209" spans="1:13" ht="15.48" thickBot="1" customHeight="1">
      <c r="A209" s="15" t="s">
        <v>517</v>
      </c>
      <c r="B209" s="8" t="s">
        <v>518</v>
      </c>
      <c r="C209" s="8" t="s">
        <v>519</v>
      </c>
      <c r="D209" s="26" t="s">
        <v>520</v>
      </c>
      <c r="E209" s="26"/>
      <c r="F209" s="26"/>
      <c r="G209" s="26"/>
      <c r="H209" s="26"/>
      <c r="I209" s="26"/>
      <c r="J209" s="26"/>
      <c r="K209" s="27">
        <f ca="1">SUM(K212:K212)</f>
        <v>0</v>
      </c>
      <c r="L209" s="27">
        <f ca="1">ROUND(70.61*(1+M2/100),2)</f>
        <v>0</v>
      </c>
      <c r="M209" s="27">
        <f ca="1">ROUND(K209*L209,2)</f>
        <v>0</v>
      </c>
    </row>
    <row r="210" spans="1:13" ht="12.12" thickBot="1" customHeight="1">
      <c r="A210" s="28"/>
      <c r="B210" s="28"/>
      <c r="C210" s="28"/>
      <c r="D210" s="26" t="s">
        <v>521</v>
      </c>
      <c r="E210" s="26"/>
      <c r="F210" s="26"/>
      <c r="G210" s="26"/>
      <c r="H210" s="26"/>
      <c r="I210" s="26"/>
      <c r="J210" s="26"/>
      <c r="K210" s="26"/>
      <c r="L210" s="26"/>
      <c r="M210" s="26"/>
    </row>
    <row r="211" spans="1:13" ht="15.12" thickBot="1" customHeight="1">
      <c r="A211" s="28"/>
      <c r="B211" s="28"/>
      <c r="C211" s="28"/>
      <c r="D211" s="28"/>
      <c r="E211" s="29"/>
      <c r="F211" s="31" t="s">
        <v>522</v>
      </c>
      <c r="G211" s="31" t="s">
        <v>523</v>
      </c>
      <c r="H211" s="31" t="s">
        <v>524</v>
      </c>
      <c r="I211" s="31" t="s">
        <v>525</v>
      </c>
      <c r="J211" s="31" t="s">
        <v>526</v>
      </c>
      <c r="K211" s="31" t="s">
        <v>527</v>
      </c>
      <c r="L211" s="28"/>
      <c r="M211" s="28"/>
    </row>
    <row r="212" spans="1:13" ht="15.12" thickBot="1" customHeight="1">
      <c r="A212" s="28"/>
      <c r="B212" s="28"/>
      <c r="C212" s="28"/>
      <c r="D212" s="32"/>
      <c r="E212" s="33"/>
      <c r="F212" s="34">
        <v>1</v>
      </c>
      <c r="G212" s="35"/>
      <c r="H212" s="35"/>
      <c r="I212" s="35"/>
      <c r="J212" s="37">
        <f ca="1">ROUND(F212,2)</f>
        <v>0</v>
      </c>
      <c r="K212" s="39">
        <f ca="1">SUM(J212:J212)</f>
        <v>0</v>
      </c>
      <c r="L212" s="28"/>
      <c r="M212" s="28"/>
    </row>
    <row r="213" spans="1:13" ht="15.48" thickBot="1" customHeight="1">
      <c r="A213" s="15" t="s">
        <v>528</v>
      </c>
      <c r="B213" s="8" t="s">
        <v>529</v>
      </c>
      <c r="C213" s="8" t="s">
        <v>530</v>
      </c>
      <c r="D213" s="26" t="s">
        <v>531</v>
      </c>
      <c r="E213" s="26"/>
      <c r="F213" s="26"/>
      <c r="G213" s="26"/>
      <c r="H213" s="26"/>
      <c r="I213" s="26"/>
      <c r="J213" s="26"/>
      <c r="K213" s="27">
        <f ca="1">SUM(K216:K216)</f>
        <v>0</v>
      </c>
      <c r="L213" s="27">
        <f ca="1">ROUND(447.28*(1+M2/100),2)</f>
        <v>0</v>
      </c>
      <c r="M213" s="27">
        <f ca="1">ROUND(K213*L213,2)</f>
        <v>0</v>
      </c>
    </row>
    <row r="214" spans="1:13" ht="39.84" thickBot="1" customHeight="1">
      <c r="A214" s="28"/>
      <c r="B214" s="28"/>
      <c r="C214" s="28"/>
      <c r="D214" s="26" t="s">
        <v>532</v>
      </c>
      <c r="E214" s="26"/>
      <c r="F214" s="26"/>
      <c r="G214" s="26"/>
      <c r="H214" s="26"/>
      <c r="I214" s="26"/>
      <c r="J214" s="26"/>
      <c r="K214" s="26"/>
      <c r="L214" s="26"/>
      <c r="M214" s="26"/>
    </row>
    <row r="215" spans="1:13" ht="15.12" thickBot="1" customHeight="1">
      <c r="A215" s="28"/>
      <c r="B215" s="28"/>
      <c r="C215" s="28"/>
      <c r="D215" s="28"/>
      <c r="E215" s="29"/>
      <c r="F215" s="31" t="s">
        <v>533</v>
      </c>
      <c r="G215" s="31" t="s">
        <v>534</v>
      </c>
      <c r="H215" s="31" t="s">
        <v>535</v>
      </c>
      <c r="I215" s="31" t="s">
        <v>536</v>
      </c>
      <c r="J215" s="31" t="s">
        <v>537</v>
      </c>
      <c r="K215" s="31" t="s">
        <v>538</v>
      </c>
      <c r="L215" s="28"/>
      <c r="M215" s="28"/>
    </row>
    <row r="216" spans="1:13" ht="15.12" thickBot="1" customHeight="1">
      <c r="A216" s="28"/>
      <c r="B216" s="28"/>
      <c r="C216" s="28"/>
      <c r="D216" s="32"/>
      <c r="E216" s="33" t="s">
        <v>539</v>
      </c>
      <c r="F216" s="34">
        <v>1</v>
      </c>
      <c r="G216" s="35"/>
      <c r="H216" s="35"/>
      <c r="I216" s="35"/>
      <c r="J216" s="37">
        <f ca="1">ROUND(F216,2)</f>
        <v>0</v>
      </c>
      <c r="K216" s="39">
        <f ca="1">SUM(J216:J216)</f>
        <v>0</v>
      </c>
      <c r="L216" s="28"/>
      <c r="M216" s="28"/>
    </row>
    <row r="217" spans="1:13" ht="15.48" thickBot="1" customHeight="1">
      <c r="A217" s="15" t="s">
        <v>540</v>
      </c>
      <c r="B217" s="8" t="s">
        <v>541</v>
      </c>
      <c r="C217" s="8" t="s">
        <v>542</v>
      </c>
      <c r="D217" s="26" t="s">
        <v>543</v>
      </c>
      <c r="E217" s="26"/>
      <c r="F217" s="26"/>
      <c r="G217" s="26"/>
      <c r="H217" s="26"/>
      <c r="I217" s="26"/>
      <c r="J217" s="26"/>
      <c r="K217" s="27">
        <f ca="1">SUM(K220:K221)</f>
        <v>0</v>
      </c>
      <c r="L217" s="27">
        <f ca="1">ROUND(21.67*(1+M2/100),2)</f>
        <v>0</v>
      </c>
      <c r="M217" s="27">
        <f ca="1">ROUND(K217*L217,2)</f>
        <v>0</v>
      </c>
    </row>
    <row r="218" spans="1:13" ht="30.60" thickBot="1" customHeight="1">
      <c r="A218" s="28"/>
      <c r="B218" s="28"/>
      <c r="C218" s="28"/>
      <c r="D218" s="26" t="s">
        <v>544</v>
      </c>
      <c r="E218" s="26"/>
      <c r="F218" s="26"/>
      <c r="G218" s="26"/>
      <c r="H218" s="26"/>
      <c r="I218" s="26"/>
      <c r="J218" s="26"/>
      <c r="K218" s="26"/>
      <c r="L218" s="26"/>
      <c r="M218" s="26"/>
    </row>
    <row r="219" spans="1:13" ht="15.12" thickBot="1" customHeight="1">
      <c r="A219" s="28"/>
      <c r="B219" s="28"/>
      <c r="C219" s="28"/>
      <c r="D219" s="28"/>
      <c r="E219" s="29"/>
      <c r="F219" s="31" t="s">
        <v>545</v>
      </c>
      <c r="G219" s="31" t="s">
        <v>546</v>
      </c>
      <c r="H219" s="31" t="s">
        <v>547</v>
      </c>
      <c r="I219" s="31" t="s">
        <v>548</v>
      </c>
      <c r="J219" s="31" t="s">
        <v>549</v>
      </c>
      <c r="K219" s="31" t="s">
        <v>550</v>
      </c>
      <c r="L219" s="28"/>
      <c r="M219" s="28"/>
    </row>
    <row r="220" spans="1:13" ht="15.12" thickBot="1" customHeight="1">
      <c r="A220" s="28"/>
      <c r="B220" s="28"/>
      <c r="C220" s="28"/>
      <c r="D220" s="32"/>
      <c r="E220" s="33" t="s">
        <v>551</v>
      </c>
      <c r="F220" s="34">
        <v>5</v>
      </c>
      <c r="G220" s="35"/>
      <c r="H220" s="35"/>
      <c r="I220" s="35"/>
      <c r="J220" s="37">
        <f ca="1">ROUND(F220,2)</f>
        <v>0</v>
      </c>
      <c r="K220" s="40"/>
      <c r="L220" s="28"/>
      <c r="M220" s="28"/>
    </row>
    <row r="221" spans="1:13" ht="15.12" thickBot="1" customHeight="1">
      <c r="A221" s="28"/>
      <c r="B221" s="28"/>
      <c r="C221" s="28"/>
      <c r="D221" s="32"/>
      <c r="E221" s="8" t="s">
        <v>552</v>
      </c>
      <c r="F221" s="6">
        <v>2</v>
      </c>
      <c r="G221" s="27"/>
      <c r="H221" s="27"/>
      <c r="I221" s="27"/>
      <c r="J221" s="36">
        <f ca="1">ROUND(F221,2)</f>
        <v>0</v>
      </c>
      <c r="K221" s="38">
        <f ca="1">SUM(J220:J221)</f>
        <v>0</v>
      </c>
      <c r="L221" s="28"/>
      <c r="M221" s="28"/>
    </row>
    <row r="222" spans="1:13" ht="15.48" thickBot="1" customHeight="1">
      <c r="A222" s="15" t="s">
        <v>553</v>
      </c>
      <c r="B222" s="8" t="s">
        <v>554</v>
      </c>
      <c r="C222" s="8" t="s">
        <v>555</v>
      </c>
      <c r="D222" s="26" t="s">
        <v>556</v>
      </c>
      <c r="E222" s="26"/>
      <c r="F222" s="26"/>
      <c r="G222" s="26"/>
      <c r="H222" s="26"/>
      <c r="I222" s="26"/>
      <c r="J222" s="26"/>
      <c r="K222" s="27">
        <f ca="1">SUM(K225:K225)</f>
        <v>0</v>
      </c>
      <c r="L222" s="27">
        <f ca="1">ROUND(16.93*(1+M2/100),2)</f>
        <v>0</v>
      </c>
      <c r="M222" s="27">
        <f ca="1">ROUND(K222*L222,2)</f>
        <v>0</v>
      </c>
    </row>
    <row r="223" spans="1:13" ht="21.36" thickBot="1" customHeight="1">
      <c r="A223" s="28"/>
      <c r="B223" s="28"/>
      <c r="C223" s="28"/>
      <c r="D223" s="26" t="s">
        <v>557</v>
      </c>
      <c r="E223" s="26"/>
      <c r="F223" s="26"/>
      <c r="G223" s="26"/>
      <c r="H223" s="26"/>
      <c r="I223" s="26"/>
      <c r="J223" s="26"/>
      <c r="K223" s="26"/>
      <c r="L223" s="26"/>
      <c r="M223" s="26"/>
    </row>
    <row r="224" spans="1:13" ht="15.12" thickBot="1" customHeight="1">
      <c r="A224" s="28"/>
      <c r="B224" s="28"/>
      <c r="C224" s="28"/>
      <c r="D224" s="28"/>
      <c r="E224" s="29"/>
      <c r="F224" s="31" t="s">
        <v>558</v>
      </c>
      <c r="G224" s="31" t="s">
        <v>559</v>
      </c>
      <c r="H224" s="31" t="s">
        <v>560</v>
      </c>
      <c r="I224" s="31" t="s">
        <v>561</v>
      </c>
      <c r="J224" s="31" t="s">
        <v>562</v>
      </c>
      <c r="K224" s="31" t="s">
        <v>563</v>
      </c>
      <c r="L224" s="28"/>
      <c r="M224" s="28"/>
    </row>
    <row r="225" spans="1:13" ht="15.12" thickBot="1" customHeight="1">
      <c r="A225" s="28"/>
      <c r="B225" s="28"/>
      <c r="C225" s="28"/>
      <c r="D225" s="32"/>
      <c r="E225" s="33" t="s">
        <v>564</v>
      </c>
      <c r="F225" s="34">
        <v>5</v>
      </c>
      <c r="G225" s="35"/>
      <c r="H225" s="35"/>
      <c r="I225" s="35"/>
      <c r="J225" s="37">
        <f ca="1">ROUND(F225,2)</f>
        <v>0</v>
      </c>
      <c r="K225" s="39">
        <f ca="1">SUM(J225:J225)</f>
        <v>0</v>
      </c>
      <c r="L225" s="28"/>
      <c r="M225" s="28"/>
    </row>
    <row r="226" spans="1:13" ht="15.48" thickBot="1" customHeight="1">
      <c r="A226" s="15" t="s">
        <v>565</v>
      </c>
      <c r="B226" s="8" t="s">
        <v>566</v>
      </c>
      <c r="C226" s="8" t="s">
        <v>567</v>
      </c>
      <c r="D226" s="26" t="s">
        <v>568</v>
      </c>
      <c r="E226" s="26"/>
      <c r="F226" s="26"/>
      <c r="G226" s="26"/>
      <c r="H226" s="26"/>
      <c r="I226" s="26"/>
      <c r="J226" s="26"/>
      <c r="K226" s="27">
        <f ca="1">SUM(K229:K229)</f>
        <v>0</v>
      </c>
      <c r="L226" s="27">
        <f ca="1">ROUND(6.42*(1+M2/100),2)</f>
        <v>0</v>
      </c>
      <c r="M226" s="27">
        <f ca="1">ROUND(K226*L226,2)</f>
        <v>0</v>
      </c>
    </row>
    <row r="227" spans="1:13" ht="21.36" thickBot="1" customHeight="1">
      <c r="A227" s="28"/>
      <c r="B227" s="28"/>
      <c r="C227" s="28"/>
      <c r="D227" s="26" t="s">
        <v>569</v>
      </c>
      <c r="E227" s="26"/>
      <c r="F227" s="26"/>
      <c r="G227" s="26"/>
      <c r="H227" s="26"/>
      <c r="I227" s="26"/>
      <c r="J227" s="26"/>
      <c r="K227" s="26"/>
      <c r="L227" s="26"/>
      <c r="M227" s="26"/>
    </row>
    <row r="228" spans="1:13" ht="15.12" thickBot="1" customHeight="1">
      <c r="A228" s="28"/>
      <c r="B228" s="28"/>
      <c r="C228" s="28"/>
      <c r="D228" s="28"/>
      <c r="E228" s="29"/>
      <c r="F228" s="31" t="s">
        <v>570</v>
      </c>
      <c r="G228" s="31" t="s">
        <v>571</v>
      </c>
      <c r="H228" s="31" t="s">
        <v>572</v>
      </c>
      <c r="I228" s="31" t="s">
        <v>573</v>
      </c>
      <c r="J228" s="31" t="s">
        <v>574</v>
      </c>
      <c r="K228" s="31" t="s">
        <v>575</v>
      </c>
      <c r="L228" s="28"/>
      <c r="M228" s="28"/>
    </row>
    <row r="229" spans="1:13" ht="21.36" thickBot="1" customHeight="1">
      <c r="A229" s="28"/>
      <c r="B229" s="28"/>
      <c r="C229" s="28"/>
      <c r="D229" s="32"/>
      <c r="E229" s="33" t="s">
        <v>576</v>
      </c>
      <c r="F229" s="34"/>
      <c r="G229" s="35">
        <v>30.00</v>
      </c>
      <c r="H229" s="35"/>
      <c r="I229" s="35"/>
      <c r="J229" s="37">
        <f ca="1">ROUND(G229,2)</f>
        <v>0</v>
      </c>
      <c r="K229" s="39">
        <f ca="1">SUM(J229:J229)</f>
        <v>0</v>
      </c>
      <c r="L229" s="28"/>
      <c r="M229" s="28"/>
    </row>
    <row r="230" spans="1:13" ht="15.48" thickBot="1" customHeight="1">
      <c r="A230" s="15" t="s">
        <v>577</v>
      </c>
      <c r="B230" s="8" t="s">
        <v>578</v>
      </c>
      <c r="C230" s="8" t="s">
        <v>579</v>
      </c>
      <c r="D230" s="26" t="s">
        <v>580</v>
      </c>
      <c r="E230" s="26"/>
      <c r="F230" s="26"/>
      <c r="G230" s="26"/>
      <c r="H230" s="26"/>
      <c r="I230" s="26"/>
      <c r="J230" s="26"/>
      <c r="K230" s="27">
        <f ca="1">SUM(K233:K233)</f>
        <v>0</v>
      </c>
      <c r="L230" s="27">
        <f ca="1">ROUND(5.24*(1+M2/100),2)</f>
        <v>0</v>
      </c>
      <c r="M230" s="27">
        <f ca="1">ROUND(K230*L230,2)</f>
        <v>0</v>
      </c>
    </row>
    <row r="231" spans="1:13" ht="21.36" thickBot="1" customHeight="1">
      <c r="A231" s="28"/>
      <c r="B231" s="28"/>
      <c r="C231" s="28"/>
      <c r="D231" s="26" t="s">
        <v>581</v>
      </c>
      <c r="E231" s="26"/>
      <c r="F231" s="26"/>
      <c r="G231" s="26"/>
      <c r="H231" s="26"/>
      <c r="I231" s="26"/>
      <c r="J231" s="26"/>
      <c r="K231" s="26"/>
      <c r="L231" s="26"/>
      <c r="M231" s="26"/>
    </row>
    <row r="232" spans="1:13" ht="15.12" thickBot="1" customHeight="1">
      <c r="A232" s="28"/>
      <c r="B232" s="28"/>
      <c r="C232" s="28"/>
      <c r="D232" s="28"/>
      <c r="E232" s="29"/>
      <c r="F232" s="31" t="s">
        <v>582</v>
      </c>
      <c r="G232" s="31" t="s">
        <v>583</v>
      </c>
      <c r="H232" s="31" t="s">
        <v>584</v>
      </c>
      <c r="I232" s="31" t="s">
        <v>585</v>
      </c>
      <c r="J232" s="31" t="s">
        <v>586</v>
      </c>
      <c r="K232" s="31" t="s">
        <v>587</v>
      </c>
      <c r="L232" s="28"/>
      <c r="M232" s="28"/>
    </row>
    <row r="233" spans="1:13" ht="21.36" thickBot="1" customHeight="1">
      <c r="A233" s="28"/>
      <c r="B233" s="28"/>
      <c r="C233" s="28"/>
      <c r="D233" s="32"/>
      <c r="E233" s="33" t="s">
        <v>588</v>
      </c>
      <c r="F233" s="34">
        <v>5</v>
      </c>
      <c r="G233" s="35">
        <v>10.00</v>
      </c>
      <c r="H233" s="35"/>
      <c r="I233" s="35"/>
      <c r="J233" s="37">
        <f ca="1">ROUND(F233*G233,2)</f>
        <v>0</v>
      </c>
      <c r="K233" s="39">
        <f ca="1">SUM(J233:J233)</f>
        <v>0</v>
      </c>
      <c r="L233" s="28"/>
      <c r="M233" s="28"/>
    </row>
    <row r="234" spans="1:13" ht="15.48" thickBot="1" customHeight="1">
      <c r="A234" s="15" t="s">
        <v>589</v>
      </c>
      <c r="B234" s="8" t="s">
        <v>590</v>
      </c>
      <c r="C234" s="8" t="s">
        <v>591</v>
      </c>
      <c r="D234" s="26" t="s">
        <v>592</v>
      </c>
      <c r="E234" s="26"/>
      <c r="F234" s="26"/>
      <c r="G234" s="26"/>
      <c r="H234" s="26"/>
      <c r="I234" s="26"/>
      <c r="J234" s="26"/>
      <c r="K234" s="27">
        <f ca="1">SUM(K237:K237)</f>
        <v>0</v>
      </c>
      <c r="L234" s="27">
        <f ca="1">ROUND(34.63*(1+M2/100),2)</f>
        <v>0</v>
      </c>
      <c r="M234" s="27">
        <f ca="1">ROUND(K234*L234,2)</f>
        <v>0</v>
      </c>
    </row>
    <row r="235" spans="1:13" ht="21.36" thickBot="1" customHeight="1">
      <c r="A235" s="28"/>
      <c r="B235" s="28"/>
      <c r="C235" s="28"/>
      <c r="D235" s="26" t="s">
        <v>593</v>
      </c>
      <c r="E235" s="26"/>
      <c r="F235" s="26"/>
      <c r="G235" s="26"/>
      <c r="H235" s="26"/>
      <c r="I235" s="26"/>
      <c r="J235" s="26"/>
      <c r="K235" s="26"/>
      <c r="L235" s="26"/>
      <c r="M235" s="26"/>
    </row>
    <row r="236" spans="1:13" ht="15.12" thickBot="1" customHeight="1">
      <c r="A236" s="28"/>
      <c r="B236" s="28"/>
      <c r="C236" s="28"/>
      <c r="D236" s="28"/>
      <c r="E236" s="29"/>
      <c r="F236" s="31" t="s">
        <v>594</v>
      </c>
      <c r="G236" s="31" t="s">
        <v>595</v>
      </c>
      <c r="H236" s="31" t="s">
        <v>596</v>
      </c>
      <c r="I236" s="31" t="s">
        <v>597</v>
      </c>
      <c r="J236" s="31" t="s">
        <v>598</v>
      </c>
      <c r="K236" s="31" t="s">
        <v>599</v>
      </c>
      <c r="L236" s="28"/>
      <c r="M236" s="28"/>
    </row>
    <row r="237" spans="1:13" ht="15.12" thickBot="1" customHeight="1">
      <c r="A237" s="28"/>
      <c r="B237" s="28"/>
      <c r="C237" s="28"/>
      <c r="D237" s="32"/>
      <c r="E237" s="33" t="s">
        <v>600</v>
      </c>
      <c r="F237" s="34">
        <v>10</v>
      </c>
      <c r="G237" s="35"/>
      <c r="H237" s="35"/>
      <c r="I237" s="35"/>
      <c r="J237" s="37">
        <f ca="1">ROUND(F237,2)</f>
        <v>0</v>
      </c>
      <c r="K237" s="39">
        <f ca="1">SUM(J237:J237)</f>
        <v>0</v>
      </c>
      <c r="L237" s="28"/>
      <c r="M237" s="28"/>
    </row>
    <row r="238" spans="1:13" ht="15.48" thickBot="1" customHeight="1">
      <c r="A238" s="15" t="s">
        <v>601</v>
      </c>
      <c r="B238" s="8" t="s">
        <v>602</v>
      </c>
      <c r="C238" s="8" t="s">
        <v>603</v>
      </c>
      <c r="D238" s="26" t="s">
        <v>604</v>
      </c>
      <c r="E238" s="26"/>
      <c r="F238" s="26"/>
      <c r="G238" s="26"/>
      <c r="H238" s="26"/>
      <c r="I238" s="26"/>
      <c r="J238" s="26"/>
      <c r="K238" s="27">
        <f ca="1">SUM(K241:K242)</f>
        <v>0</v>
      </c>
      <c r="L238" s="27">
        <f ca="1">ROUND(1.33*(1+M2/100),2)</f>
        <v>0</v>
      </c>
      <c r="M238" s="27">
        <f ca="1">ROUND(K238*L238,2)</f>
        <v>0</v>
      </c>
    </row>
    <row r="239" spans="1:13" ht="39.84" thickBot="1" customHeight="1">
      <c r="A239" s="28"/>
      <c r="B239" s="28"/>
      <c r="C239" s="28"/>
      <c r="D239" s="26" t="s">
        <v>605</v>
      </c>
      <c r="E239" s="26"/>
      <c r="F239" s="26"/>
      <c r="G239" s="26"/>
      <c r="H239" s="26"/>
      <c r="I239" s="26"/>
      <c r="J239" s="26"/>
      <c r="K239" s="26"/>
      <c r="L239" s="26"/>
      <c r="M239" s="26"/>
    </row>
    <row r="240" spans="1:13" ht="15.12" thickBot="1" customHeight="1">
      <c r="A240" s="28"/>
      <c r="B240" s="28"/>
      <c r="C240" s="28"/>
      <c r="D240" s="28"/>
      <c r="E240" s="29"/>
      <c r="F240" s="31" t="s">
        <v>606</v>
      </c>
      <c r="G240" s="31" t="s">
        <v>607</v>
      </c>
      <c r="H240" s="31" t="s">
        <v>608</v>
      </c>
      <c r="I240" s="31" t="s">
        <v>609</v>
      </c>
      <c r="J240" s="31" t="s">
        <v>610</v>
      </c>
      <c r="K240" s="31" t="s">
        <v>611</v>
      </c>
      <c r="L240" s="28"/>
      <c r="M240" s="28"/>
    </row>
    <row r="241" spans="1:13" ht="39.84" thickBot="1" customHeight="1">
      <c r="A241" s="28"/>
      <c r="B241" s="28"/>
      <c r="C241" s="28"/>
      <c r="D241" s="32"/>
      <c r="E241" s="33" t="s">
        <v>612</v>
      </c>
      <c r="F241" s="34">
        <v>4</v>
      </c>
      <c r="G241" s="35">
        <v>45.00</v>
      </c>
      <c r="H241" s="35"/>
      <c r="I241" s="35"/>
      <c r="J241" s="37">
        <f ca="1">ROUND(F241*G241,2)</f>
        <v>0</v>
      </c>
      <c r="K241" s="40"/>
      <c r="L241" s="28"/>
      <c r="M241" s="28"/>
    </row>
    <row r="242" spans="1:13" ht="49.08" thickBot="1" customHeight="1">
      <c r="A242" s="28"/>
      <c r="B242" s="28"/>
      <c r="C242" s="28"/>
      <c r="D242" s="32"/>
      <c r="E242" s="8" t="s">
        <v>613</v>
      </c>
      <c r="F242" s="6">
        <v>5</v>
      </c>
      <c r="G242" s="27">
        <v>30.00</v>
      </c>
      <c r="H242" s="27"/>
      <c r="I242" s="27"/>
      <c r="J242" s="36">
        <f ca="1">ROUND(F242*G242,2)</f>
        <v>0</v>
      </c>
      <c r="K242" s="38">
        <f ca="1">SUM(J241:J242)</f>
        <v>0</v>
      </c>
      <c r="L242" s="28"/>
      <c r="M242" s="28"/>
    </row>
    <row r="243" spans="1:13" ht="15.48" thickBot="1" customHeight="1">
      <c r="A243" s="15" t="s">
        <v>614</v>
      </c>
      <c r="B243" s="8" t="s">
        <v>615</v>
      </c>
      <c r="C243" s="8" t="s">
        <v>616</v>
      </c>
      <c r="D243" s="26" t="s">
        <v>617</v>
      </c>
      <c r="E243" s="26"/>
      <c r="F243" s="26"/>
      <c r="G243" s="26"/>
      <c r="H243" s="26"/>
      <c r="I243" s="26"/>
      <c r="J243" s="26"/>
      <c r="K243" s="27">
        <f ca="1">SUM(K246:K246)</f>
        <v>0</v>
      </c>
      <c r="L243" s="27">
        <f ca="1">ROUND(1.56*(1+M2/100),2)</f>
        <v>0</v>
      </c>
      <c r="M243" s="27">
        <f ca="1">ROUND(K243*L243,2)</f>
        <v>0</v>
      </c>
    </row>
    <row r="244" spans="1:13" ht="39.84" thickBot="1" customHeight="1">
      <c r="A244" s="28"/>
      <c r="B244" s="28"/>
      <c r="C244" s="28"/>
      <c r="D244" s="26" t="s">
        <v>618</v>
      </c>
      <c r="E244" s="26"/>
      <c r="F244" s="26"/>
      <c r="G244" s="26"/>
      <c r="H244" s="26"/>
      <c r="I244" s="26"/>
      <c r="J244" s="26"/>
      <c r="K244" s="26"/>
      <c r="L244" s="26"/>
      <c r="M244" s="26"/>
    </row>
    <row r="245" spans="1:13" ht="15.12" thickBot="1" customHeight="1">
      <c r="A245" s="28"/>
      <c r="B245" s="28"/>
      <c r="C245" s="28"/>
      <c r="D245" s="28"/>
      <c r="E245" s="29"/>
      <c r="F245" s="31" t="s">
        <v>619</v>
      </c>
      <c r="G245" s="31" t="s">
        <v>620</v>
      </c>
      <c r="H245" s="31" t="s">
        <v>621</v>
      </c>
      <c r="I245" s="31" t="s">
        <v>622</v>
      </c>
      <c r="J245" s="31" t="s">
        <v>623</v>
      </c>
      <c r="K245" s="31" t="s">
        <v>624</v>
      </c>
      <c r="L245" s="28"/>
      <c r="M245" s="28"/>
    </row>
    <row r="246" spans="1:13" ht="39.84" thickBot="1" customHeight="1">
      <c r="A246" s="28"/>
      <c r="B246" s="28"/>
      <c r="C246" s="28"/>
      <c r="D246" s="32"/>
      <c r="E246" s="33" t="s">
        <v>625</v>
      </c>
      <c r="F246" s="34">
        <v>5</v>
      </c>
      <c r="G246" s="35">
        <v>18.00</v>
      </c>
      <c r="H246" s="35"/>
      <c r="I246" s="35"/>
      <c r="J246" s="37">
        <f ca="1">ROUND(F246*G246,2)</f>
        <v>0</v>
      </c>
      <c r="K246" s="39">
        <f ca="1">SUM(J246:J246)</f>
        <v>0</v>
      </c>
      <c r="L246" s="28"/>
      <c r="M246" s="28"/>
    </row>
    <row r="247" spans="1:13" ht="15.48" thickBot="1" customHeight="1">
      <c r="A247" s="15" t="s">
        <v>626</v>
      </c>
      <c r="B247" s="8" t="s">
        <v>627</v>
      </c>
      <c r="C247" s="8" t="s">
        <v>628</v>
      </c>
      <c r="D247" s="26" t="s">
        <v>629</v>
      </c>
      <c r="E247" s="26"/>
      <c r="F247" s="26"/>
      <c r="G247" s="26"/>
      <c r="H247" s="26"/>
      <c r="I247" s="26"/>
      <c r="J247" s="26"/>
      <c r="K247" s="27">
        <f ca="1">SUM(K250:K250)</f>
        <v>0</v>
      </c>
      <c r="L247" s="27">
        <f ca="1">ROUND(1.81*(1+M2/100),2)</f>
        <v>0</v>
      </c>
      <c r="M247" s="27">
        <f ca="1">ROUND(K247*L247,2)</f>
        <v>0</v>
      </c>
    </row>
    <row r="248" spans="1:13" ht="39.84" thickBot="1" customHeight="1">
      <c r="A248" s="28"/>
      <c r="B248" s="28"/>
      <c r="C248" s="28"/>
      <c r="D248" s="26" t="s">
        <v>630</v>
      </c>
      <c r="E248" s="26"/>
      <c r="F248" s="26"/>
      <c r="G248" s="26"/>
      <c r="H248" s="26"/>
      <c r="I248" s="26"/>
      <c r="J248" s="26"/>
      <c r="K248" s="26"/>
      <c r="L248" s="26"/>
      <c r="M248" s="26"/>
    </row>
    <row r="249" spans="1:13" ht="15.12" thickBot="1" customHeight="1">
      <c r="A249" s="28"/>
      <c r="B249" s="28"/>
      <c r="C249" s="28"/>
      <c r="D249" s="28"/>
      <c r="E249" s="29"/>
      <c r="F249" s="31" t="s">
        <v>631</v>
      </c>
      <c r="G249" s="31" t="s">
        <v>632</v>
      </c>
      <c r="H249" s="31" t="s">
        <v>633</v>
      </c>
      <c r="I249" s="31" t="s">
        <v>634</v>
      </c>
      <c r="J249" s="31" t="s">
        <v>635</v>
      </c>
      <c r="K249" s="31" t="s">
        <v>636</v>
      </c>
      <c r="L249" s="28"/>
      <c r="M249" s="28"/>
    </row>
    <row r="250" spans="1:13" ht="30.60" thickBot="1" customHeight="1">
      <c r="A250" s="28"/>
      <c r="B250" s="28"/>
      <c r="C250" s="28"/>
      <c r="D250" s="32"/>
      <c r="E250" s="33" t="s">
        <v>637</v>
      </c>
      <c r="F250" s="34">
        <v>3</v>
      </c>
      <c r="G250" s="35">
        <v>45.00</v>
      </c>
      <c r="H250" s="35"/>
      <c r="I250" s="35"/>
      <c r="J250" s="37">
        <f ca="1">ROUND(F250*G250,2)</f>
        <v>0</v>
      </c>
      <c r="K250" s="39">
        <f ca="1">SUM(J250:J250)</f>
        <v>0</v>
      </c>
      <c r="L250" s="28"/>
      <c r="M250" s="28"/>
    </row>
    <row r="251" spans="1:13" ht="21.36" thickBot="1" customHeight="1">
      <c r="A251" s="15" t="s">
        <v>638</v>
      </c>
      <c r="B251" s="8" t="s">
        <v>639</v>
      </c>
      <c r="C251" s="8" t="s">
        <v>640</v>
      </c>
      <c r="D251" s="26" t="s">
        <v>641</v>
      </c>
      <c r="E251" s="26"/>
      <c r="F251" s="26"/>
      <c r="G251" s="26"/>
      <c r="H251" s="26"/>
      <c r="I251" s="26"/>
      <c r="J251" s="26"/>
      <c r="K251" s="27">
        <f ca="1">SUM(K254:K254)</f>
        <v>0</v>
      </c>
      <c r="L251" s="27">
        <f ca="1">ROUND(17.70*(1+M2/100),2)</f>
        <v>0</v>
      </c>
      <c r="M251" s="27">
        <f ca="1">ROUND(K251*L251,2)</f>
        <v>0</v>
      </c>
    </row>
    <row r="252" spans="1:13" ht="21.36" thickBot="1" customHeight="1">
      <c r="A252" s="28"/>
      <c r="B252" s="28"/>
      <c r="C252" s="28"/>
      <c r="D252" s="26" t="s">
        <v>642</v>
      </c>
      <c r="E252" s="26"/>
      <c r="F252" s="26"/>
      <c r="G252" s="26"/>
      <c r="H252" s="26"/>
      <c r="I252" s="26"/>
      <c r="J252" s="26"/>
      <c r="K252" s="26"/>
      <c r="L252" s="26"/>
      <c r="M252" s="26"/>
    </row>
    <row r="253" spans="1:13" ht="15.12" thickBot="1" customHeight="1">
      <c r="A253" s="28"/>
      <c r="B253" s="28"/>
      <c r="C253" s="28"/>
      <c r="D253" s="28"/>
      <c r="E253" s="29"/>
      <c r="F253" s="31" t="s">
        <v>643</v>
      </c>
      <c r="G253" s="31" t="s">
        <v>644</v>
      </c>
      <c r="H253" s="31" t="s">
        <v>645</v>
      </c>
      <c r="I253" s="31" t="s">
        <v>646</v>
      </c>
      <c r="J253" s="31" t="s">
        <v>647</v>
      </c>
      <c r="K253" s="31" t="s">
        <v>648</v>
      </c>
      <c r="L253" s="28"/>
      <c r="M253" s="28"/>
    </row>
    <row r="254" spans="1:13" ht="15.12" thickBot="1" customHeight="1">
      <c r="A254" s="28"/>
      <c r="B254" s="28"/>
      <c r="C254" s="28"/>
      <c r="D254" s="32"/>
      <c r="E254" s="33" t="s">
        <v>649</v>
      </c>
      <c r="F254" s="34">
        <v>6</v>
      </c>
      <c r="G254" s="35"/>
      <c r="H254" s="35"/>
      <c r="I254" s="35"/>
      <c r="J254" s="37">
        <f ca="1">ROUND(F254,2)</f>
        <v>0</v>
      </c>
      <c r="K254" s="39">
        <f ca="1">SUM(J254:J254)</f>
        <v>0</v>
      </c>
      <c r="L254" s="28"/>
      <c r="M254" s="28"/>
    </row>
    <row r="255" spans="1:13" ht="21.36" thickBot="1" customHeight="1">
      <c r="A255" s="15" t="s">
        <v>650</v>
      </c>
      <c r="B255" s="8" t="s">
        <v>651</v>
      </c>
      <c r="C255" s="8" t="s">
        <v>652</v>
      </c>
      <c r="D255" s="26" t="s">
        <v>653</v>
      </c>
      <c r="E255" s="26"/>
      <c r="F255" s="26"/>
      <c r="G255" s="26"/>
      <c r="H255" s="26"/>
      <c r="I255" s="26"/>
      <c r="J255" s="26"/>
      <c r="K255" s="27">
        <f ca="1">SUM(K258:K258)</f>
        <v>0</v>
      </c>
      <c r="L255" s="27">
        <f ca="1">ROUND(7.74*(1+M2/100),2)</f>
        <v>0</v>
      </c>
      <c r="M255" s="27">
        <f ca="1">ROUND(K255*L255,2)</f>
        <v>0</v>
      </c>
    </row>
    <row r="256" spans="1:13" ht="21.36" thickBot="1" customHeight="1">
      <c r="A256" s="28"/>
      <c r="B256" s="28"/>
      <c r="C256" s="28"/>
      <c r="D256" s="26" t="s">
        <v>654</v>
      </c>
      <c r="E256" s="26"/>
      <c r="F256" s="26"/>
      <c r="G256" s="26"/>
      <c r="H256" s="26"/>
      <c r="I256" s="26"/>
      <c r="J256" s="26"/>
      <c r="K256" s="26"/>
      <c r="L256" s="26"/>
      <c r="M256" s="26"/>
    </row>
    <row r="257" spans="1:13" ht="15.12" thickBot="1" customHeight="1">
      <c r="A257" s="28"/>
      <c r="B257" s="28"/>
      <c r="C257" s="28"/>
      <c r="D257" s="28"/>
      <c r="E257" s="29"/>
      <c r="F257" s="31" t="s">
        <v>655</v>
      </c>
      <c r="G257" s="31" t="s">
        <v>656</v>
      </c>
      <c r="H257" s="31" t="s">
        <v>657</v>
      </c>
      <c r="I257" s="31" t="s">
        <v>658</v>
      </c>
      <c r="J257" s="31" t="s">
        <v>659</v>
      </c>
      <c r="K257" s="31" t="s">
        <v>660</v>
      </c>
      <c r="L257" s="28"/>
      <c r="M257" s="28"/>
    </row>
    <row r="258" spans="1:13" ht="15.12" thickBot="1" customHeight="1">
      <c r="A258" s="28"/>
      <c r="B258" s="28"/>
      <c r="C258" s="28"/>
      <c r="D258" s="32"/>
      <c r="E258" s="33" t="s">
        <v>661</v>
      </c>
      <c r="F258" s="34">
        <v>6</v>
      </c>
      <c r="G258" s="35"/>
      <c r="H258" s="35"/>
      <c r="I258" s="35"/>
      <c r="J258" s="37">
        <f ca="1">ROUND(F258,2)</f>
        <v>0</v>
      </c>
      <c r="K258" s="39">
        <f ca="1">SUM(J258:J258)</f>
        <v>0</v>
      </c>
      <c r="L258" s="28"/>
      <c r="M258" s="28"/>
    </row>
    <row r="259" spans="1:13" ht="15.48" thickBot="1" customHeight="1">
      <c r="A259" s="15" t="s">
        <v>662</v>
      </c>
      <c r="B259" s="8" t="s">
        <v>663</v>
      </c>
      <c r="C259" s="8" t="s">
        <v>664</v>
      </c>
      <c r="D259" s="26" t="s">
        <v>665</v>
      </c>
      <c r="E259" s="26"/>
      <c r="F259" s="26"/>
      <c r="G259" s="26"/>
      <c r="H259" s="26"/>
      <c r="I259" s="26"/>
      <c r="J259" s="26"/>
      <c r="K259" s="27">
        <f ca="1">SUM(K262:K262)</f>
        <v>0</v>
      </c>
      <c r="L259" s="27">
        <f ca="1">ROUND(750.00*(1+M2/100),2)</f>
        <v>0</v>
      </c>
      <c r="M259" s="27">
        <f ca="1">ROUND(K259*L259,2)</f>
        <v>0</v>
      </c>
    </row>
    <row r="260" spans="1:13" ht="21.36" thickBot="1" customHeight="1">
      <c r="A260" s="28"/>
      <c r="B260" s="28"/>
      <c r="C260" s="28"/>
      <c r="D260" s="26" t="s">
        <v>666</v>
      </c>
      <c r="E260" s="26"/>
      <c r="F260" s="26"/>
      <c r="G260" s="26"/>
      <c r="H260" s="26"/>
      <c r="I260" s="26"/>
      <c r="J260" s="26"/>
      <c r="K260" s="26"/>
      <c r="L260" s="26"/>
      <c r="M260" s="26"/>
    </row>
    <row r="261" spans="1:13" ht="15.12" thickBot="1" customHeight="1">
      <c r="A261" s="28"/>
      <c r="B261" s="28"/>
      <c r="C261" s="28"/>
      <c r="D261" s="28"/>
      <c r="E261" s="29"/>
      <c r="F261" s="31" t="s">
        <v>667</v>
      </c>
      <c r="G261" s="31" t="s">
        <v>668</v>
      </c>
      <c r="H261" s="31" t="s">
        <v>669</v>
      </c>
      <c r="I261" s="31" t="s">
        <v>670</v>
      </c>
      <c r="J261" s="31" t="s">
        <v>671</v>
      </c>
      <c r="K261" s="31" t="s">
        <v>672</v>
      </c>
      <c r="L261" s="28"/>
      <c r="M261" s="28"/>
    </row>
    <row r="262" spans="1:13" ht="15.12" thickBot="1" customHeight="1">
      <c r="A262" s="28"/>
      <c r="B262" s="28"/>
      <c r="C262" s="28"/>
      <c r="D262" s="32"/>
      <c r="E262" s="33" t="s">
        <v>673</v>
      </c>
      <c r="F262" s="34">
        <v>1</v>
      </c>
      <c r="G262" s="35"/>
      <c r="H262" s="35"/>
      <c r="I262" s="35"/>
      <c r="J262" s="37">
        <f ca="1">ROUND(F262,2)</f>
        <v>0</v>
      </c>
      <c r="K262" s="39">
        <f ca="1">SUM(J262:J262)</f>
        <v>0</v>
      </c>
      <c r="L262" s="28"/>
      <c r="M262" s="28"/>
    </row>
    <row r="263" spans="1:13" ht="15.48" thickBot="1" customHeight="1">
      <c r="A263" s="41"/>
      <c r="B263" s="41"/>
      <c r="C263" s="41"/>
      <c r="D263" s="54" t="s">
        <v>674</v>
      </c>
      <c r="E263" s="55"/>
      <c r="F263" s="55"/>
      <c r="G263" s="55"/>
      <c r="H263" s="55"/>
      <c r="I263" s="55"/>
      <c r="J263" s="55"/>
      <c r="K263" s="55"/>
      <c r="L263" s="56">
        <f ca="1">M163+M168+M173+M177+M181+M185+M189+M193+M197+M201+M205+M209+M213+M217+M222+M226+M230+M234+M238+M243+M247+M251+M255+M259</f>
        <v>0</v>
      </c>
      <c r="M263" s="56">
        <f ca="1">ROUND(L263,2)</f>
        <v>0</v>
      </c>
    </row>
    <row r="264" spans="1:13" ht="15.48" thickBot="1" customHeight="1">
      <c r="A264" s="57" t="s">
        <v>675</v>
      </c>
      <c r="B264" s="57" t="s">
        <v>676</v>
      </c>
      <c r="C264" s="58"/>
      <c r="D264" s="59" t="s">
        <v>677</v>
      </c>
      <c r="E264" s="59"/>
      <c r="F264" s="59"/>
      <c r="G264" s="59"/>
      <c r="H264" s="59"/>
      <c r="I264" s="59"/>
      <c r="J264" s="59"/>
      <c r="K264" s="58"/>
      <c r="L264" s="60">
        <f ca="1">L309</f>
        <v>0</v>
      </c>
      <c r="M264" s="60">
        <f ca="1">ROUND(L264,2)</f>
        <v>0</v>
      </c>
    </row>
    <row r="265" spans="1:13" ht="15.48" thickBot="1" customHeight="1">
      <c r="A265" s="15" t="s">
        <v>678</v>
      </c>
      <c r="B265" s="8" t="s">
        <v>679</v>
      </c>
      <c r="C265" s="8" t="s">
        <v>680</v>
      </c>
      <c r="D265" s="26" t="s">
        <v>681</v>
      </c>
      <c r="E265" s="26"/>
      <c r="F265" s="26"/>
      <c r="G265" s="26"/>
      <c r="H265" s="26"/>
      <c r="I265" s="26"/>
      <c r="J265" s="26"/>
      <c r="K265" s="27">
        <f ca="1">SUM(K268:K269)</f>
        <v>0</v>
      </c>
      <c r="L265" s="27">
        <f ca="1">ROUND(6.44*(1+M2/100),2)</f>
        <v>0</v>
      </c>
      <c r="M265" s="27">
        <f ca="1">ROUND(K265*L265,2)</f>
        <v>0</v>
      </c>
    </row>
    <row r="266" spans="1:13" ht="49.08" thickBot="1" customHeight="1">
      <c r="A266" s="28"/>
      <c r="B266" s="28"/>
      <c r="C266" s="28"/>
      <c r="D266" s="26" t="s">
        <v>682</v>
      </c>
      <c r="E266" s="26"/>
      <c r="F266" s="26"/>
      <c r="G266" s="26"/>
      <c r="H266" s="26"/>
      <c r="I266" s="26"/>
      <c r="J266" s="26"/>
      <c r="K266" s="26"/>
      <c r="L266" s="26"/>
      <c r="M266" s="26"/>
    </row>
    <row r="267" spans="1:13" ht="15.12" thickBot="1" customHeight="1">
      <c r="A267" s="28"/>
      <c r="B267" s="28"/>
      <c r="C267" s="28"/>
      <c r="D267" s="28"/>
      <c r="E267" s="29"/>
      <c r="F267" s="31" t="s">
        <v>683</v>
      </c>
      <c r="G267" s="31" t="s">
        <v>684</v>
      </c>
      <c r="H267" s="31" t="s">
        <v>685</v>
      </c>
      <c r="I267" s="31" t="s">
        <v>686</v>
      </c>
      <c r="J267" s="31" t="s">
        <v>687</v>
      </c>
      <c r="K267" s="31" t="s">
        <v>688</v>
      </c>
      <c r="L267" s="28"/>
      <c r="M267" s="28"/>
    </row>
    <row r="268" spans="1:13" ht="15.12" thickBot="1" customHeight="1">
      <c r="A268" s="28"/>
      <c r="B268" s="28"/>
      <c r="C268" s="28"/>
      <c r="D268" s="32"/>
      <c r="E268" s="33" t="s">
        <v>689</v>
      </c>
      <c r="F268" s="34"/>
      <c r="G268" s="35">
        <v>30.00</v>
      </c>
      <c r="H268" s="35"/>
      <c r="I268" s="35"/>
      <c r="J268" s="37">
        <f ca="1">ROUND(G268,2)</f>
        <v>0</v>
      </c>
      <c r="K268" s="40"/>
      <c r="L268" s="28"/>
      <c r="M268" s="28"/>
    </row>
    <row r="269" spans="1:13" ht="15.12" thickBot="1" customHeight="1">
      <c r="A269" s="28"/>
      <c r="B269" s="28"/>
      <c r="C269" s="28"/>
      <c r="D269" s="32"/>
      <c r="E269" s="8" t="s">
        <v>690</v>
      </c>
      <c r="F269" s="6"/>
      <c r="G269" s="27">
        <v>50.00</v>
      </c>
      <c r="H269" s="27"/>
      <c r="I269" s="27"/>
      <c r="J269" s="36">
        <f ca="1">ROUND(G269,2)</f>
        <v>0</v>
      </c>
      <c r="K269" s="38">
        <f ca="1">SUM(J268:J269)</f>
        <v>0</v>
      </c>
      <c r="L269" s="28"/>
      <c r="M269" s="28"/>
    </row>
    <row r="270" spans="1:13" ht="15.48" thickBot="1" customHeight="1">
      <c r="A270" s="15" t="s">
        <v>691</v>
      </c>
      <c r="B270" s="8" t="s">
        <v>692</v>
      </c>
      <c r="C270" s="8" t="s">
        <v>693</v>
      </c>
      <c r="D270" s="26" t="s">
        <v>694</v>
      </c>
      <c r="E270" s="26"/>
      <c r="F270" s="26"/>
      <c r="G270" s="26"/>
      <c r="H270" s="26"/>
      <c r="I270" s="26"/>
      <c r="J270" s="26"/>
      <c r="K270" s="27">
        <f ca="1">SUM(K273:K275)</f>
        <v>0</v>
      </c>
      <c r="L270" s="27">
        <f ca="1">ROUND(4.19*(1+M2/100),2)</f>
        <v>0</v>
      </c>
      <c r="M270" s="27">
        <f ca="1">ROUND(K270*L270,2)</f>
        <v>0</v>
      </c>
    </row>
    <row r="271" spans="1:13" ht="49.08" thickBot="1" customHeight="1">
      <c r="A271" s="28"/>
      <c r="B271" s="28"/>
      <c r="C271" s="28"/>
      <c r="D271" s="26" t="s">
        <v>695</v>
      </c>
      <c r="E271" s="26"/>
      <c r="F271" s="26"/>
      <c r="G271" s="26"/>
      <c r="H271" s="26"/>
      <c r="I271" s="26"/>
      <c r="J271" s="26"/>
      <c r="K271" s="26"/>
      <c r="L271" s="26"/>
      <c r="M271" s="26"/>
    </row>
    <row r="272" spans="1:13" ht="15.12" thickBot="1" customHeight="1">
      <c r="A272" s="28"/>
      <c r="B272" s="28"/>
      <c r="C272" s="28"/>
      <c r="D272" s="28"/>
      <c r="E272" s="29"/>
      <c r="F272" s="31" t="s">
        <v>696</v>
      </c>
      <c r="G272" s="31" t="s">
        <v>697</v>
      </c>
      <c r="H272" s="31" t="s">
        <v>698</v>
      </c>
      <c r="I272" s="31" t="s">
        <v>699</v>
      </c>
      <c r="J272" s="31" t="s">
        <v>700</v>
      </c>
      <c r="K272" s="31" t="s">
        <v>701</v>
      </c>
      <c r="L272" s="28"/>
      <c r="M272" s="28"/>
    </row>
    <row r="273" spans="1:13" ht="15.12" thickBot="1" customHeight="1">
      <c r="A273" s="28"/>
      <c r="B273" s="28"/>
      <c r="C273" s="28"/>
      <c r="D273" s="32"/>
      <c r="E273" s="33" t="s">
        <v>702</v>
      </c>
      <c r="F273" s="34"/>
      <c r="G273" s="35"/>
      <c r="H273" s="35"/>
      <c r="I273" s="35"/>
      <c r="J273" s="49" t="s">
        <v>703</v>
      </c>
      <c r="K273" s="40"/>
      <c r="L273" s="28"/>
      <c r="M273" s="28"/>
    </row>
    <row r="274" spans="1:13" ht="15.12" thickBot="1" customHeight="1">
      <c r="A274" s="28"/>
      <c r="B274" s="28"/>
      <c r="C274" s="28"/>
      <c r="D274" s="32"/>
      <c r="E274" s="8"/>
      <c r="F274" s="6">
        <v>5</v>
      </c>
      <c r="G274" s="27">
        <v>3.00</v>
      </c>
      <c r="H274" s="27"/>
      <c r="I274" s="27"/>
      <c r="J274" s="36">
        <f ca="1">ROUND(F274*G274,2)</f>
        <v>0</v>
      </c>
      <c r="K274" s="28"/>
      <c r="L274" s="28"/>
      <c r="M274" s="28"/>
    </row>
    <row r="275" spans="1:13" ht="15.12" thickBot="1" customHeight="1">
      <c r="A275" s="28"/>
      <c r="B275" s="28"/>
      <c r="C275" s="28"/>
      <c r="D275" s="32"/>
      <c r="E275" s="8"/>
      <c r="F275" s="6">
        <v>1</v>
      </c>
      <c r="G275" s="27">
        <v>4.50</v>
      </c>
      <c r="H275" s="27"/>
      <c r="I275" s="27"/>
      <c r="J275" s="36">
        <f ca="1">ROUND(F275*G275,2)</f>
        <v>0</v>
      </c>
      <c r="K275" s="38">
        <f ca="1">SUM(J273:J275)</f>
        <v>0</v>
      </c>
      <c r="L275" s="28"/>
      <c r="M275" s="28"/>
    </row>
    <row r="276" spans="1:13" ht="15.48" thickBot="1" customHeight="1">
      <c r="A276" s="15" t="s">
        <v>704</v>
      </c>
      <c r="B276" s="8" t="s">
        <v>705</v>
      </c>
      <c r="C276" s="8" t="s">
        <v>706</v>
      </c>
      <c r="D276" s="26" t="s">
        <v>707</v>
      </c>
      <c r="E276" s="26"/>
      <c r="F276" s="26"/>
      <c r="G276" s="26"/>
      <c r="H276" s="26"/>
      <c r="I276" s="26"/>
      <c r="J276" s="26"/>
      <c r="K276" s="27">
        <f ca="1">SUM(K279:K280)</f>
        <v>0</v>
      </c>
      <c r="L276" s="27">
        <f ca="1">ROUND(10.98*(1+M2/100),2)</f>
        <v>0</v>
      </c>
      <c r="M276" s="27">
        <f ca="1">ROUND(K276*L276,2)</f>
        <v>0</v>
      </c>
    </row>
    <row r="277" spans="1:13" ht="21.36" thickBot="1" customHeight="1">
      <c r="A277" s="28"/>
      <c r="B277" s="28"/>
      <c r="C277" s="28"/>
      <c r="D277" s="26" t="s">
        <v>708</v>
      </c>
      <c r="E277" s="26"/>
      <c r="F277" s="26"/>
      <c r="G277" s="26"/>
      <c r="H277" s="26"/>
      <c r="I277" s="26"/>
      <c r="J277" s="26"/>
      <c r="K277" s="26"/>
      <c r="L277" s="26"/>
      <c r="M277" s="26"/>
    </row>
    <row r="278" spans="1:13" ht="15.12" thickBot="1" customHeight="1">
      <c r="A278" s="28"/>
      <c r="B278" s="28"/>
      <c r="C278" s="28"/>
      <c r="D278" s="28"/>
      <c r="E278" s="29"/>
      <c r="F278" s="31" t="s">
        <v>709</v>
      </c>
      <c r="G278" s="31" t="s">
        <v>710</v>
      </c>
      <c r="H278" s="31" t="s">
        <v>711</v>
      </c>
      <c r="I278" s="31" t="s">
        <v>712</v>
      </c>
      <c r="J278" s="31" t="s">
        <v>713</v>
      </c>
      <c r="K278" s="31" t="s">
        <v>714</v>
      </c>
      <c r="L278" s="28"/>
      <c r="M278" s="28"/>
    </row>
    <row r="279" spans="1:13" ht="21.36" thickBot="1" customHeight="1">
      <c r="A279" s="28"/>
      <c r="B279" s="28"/>
      <c r="C279" s="28"/>
      <c r="D279" s="32"/>
      <c r="E279" s="33" t="s">
        <v>715</v>
      </c>
      <c r="F279" s="34"/>
      <c r="G279" s="35">
        <v>50.00</v>
      </c>
      <c r="H279" s="35">
        <v>0.30</v>
      </c>
      <c r="I279" s="35">
        <v>0.40</v>
      </c>
      <c r="J279" s="37">
        <f ca="1">ROUND(G279*H279*I279,2)</f>
        <v>0</v>
      </c>
      <c r="K279" s="40"/>
      <c r="L279" s="28"/>
      <c r="M279" s="28"/>
    </row>
    <row r="280" spans="1:13" ht="15.12" thickBot="1" customHeight="1">
      <c r="A280" s="28"/>
      <c r="B280" s="28"/>
      <c r="C280" s="28"/>
      <c r="D280" s="32"/>
      <c r="E280" s="8"/>
      <c r="F280" s="6"/>
      <c r="G280" s="27"/>
      <c r="H280" s="27"/>
      <c r="I280" s="27"/>
      <c r="J280" s="30" t="s">
        <v>716</v>
      </c>
      <c r="K280" s="38">
        <f ca="1">SUM(J279:J280)</f>
        <v>0</v>
      </c>
      <c r="L280" s="28"/>
      <c r="M280" s="28"/>
    </row>
    <row r="281" spans="1:13" ht="15.48" thickBot="1" customHeight="1">
      <c r="A281" s="15" t="s">
        <v>717</v>
      </c>
      <c r="B281" s="8" t="s">
        <v>718</v>
      </c>
      <c r="C281" s="8" t="s">
        <v>719</v>
      </c>
      <c r="D281" s="26" t="s">
        <v>720</v>
      </c>
      <c r="E281" s="26"/>
      <c r="F281" s="26"/>
      <c r="G281" s="26"/>
      <c r="H281" s="26"/>
      <c r="I281" s="26"/>
      <c r="J281" s="26"/>
      <c r="K281" s="27">
        <f ca="1">SUM(K284:K284)</f>
        <v>0</v>
      </c>
      <c r="L281" s="27">
        <f ca="1">ROUND(11.58*(1+M2/100),2)</f>
        <v>0</v>
      </c>
      <c r="M281" s="27">
        <f ca="1">ROUND(K281*L281,2)</f>
        <v>0</v>
      </c>
    </row>
    <row r="282" spans="1:13" ht="12.12" thickBot="1" customHeight="1">
      <c r="A282" s="28"/>
      <c r="B282" s="28"/>
      <c r="C282" s="28"/>
      <c r="D282" s="26" t="s">
        <v>721</v>
      </c>
      <c r="E282" s="26"/>
      <c r="F282" s="26"/>
      <c r="G282" s="26"/>
      <c r="H282" s="26"/>
      <c r="I282" s="26"/>
      <c r="J282" s="26"/>
      <c r="K282" s="26"/>
      <c r="L282" s="26"/>
      <c r="M282" s="26"/>
    </row>
    <row r="283" spans="1:13" ht="15.12" thickBot="1" customHeight="1">
      <c r="A283" s="28"/>
      <c r="B283" s="28"/>
      <c r="C283" s="28"/>
      <c r="D283" s="28"/>
      <c r="E283" s="29"/>
      <c r="F283" s="31" t="s">
        <v>722</v>
      </c>
      <c r="G283" s="31" t="s">
        <v>723</v>
      </c>
      <c r="H283" s="31" t="s">
        <v>724</v>
      </c>
      <c r="I283" s="31" t="s">
        <v>725</v>
      </c>
      <c r="J283" s="31" t="s">
        <v>726</v>
      </c>
      <c r="K283" s="31" t="s">
        <v>727</v>
      </c>
      <c r="L283" s="28"/>
      <c r="M283" s="28"/>
    </row>
    <row r="284" spans="1:13" ht="15.12" thickBot="1" customHeight="1">
      <c r="A284" s="28"/>
      <c r="B284" s="28"/>
      <c r="C284" s="28"/>
      <c r="D284" s="32"/>
      <c r="E284" s="33" t="s">
        <v>728</v>
      </c>
      <c r="F284" s="34">
        <v>6</v>
      </c>
      <c r="G284" s="35"/>
      <c r="H284" s="35"/>
      <c r="I284" s="35"/>
      <c r="J284" s="37">
        <f ca="1">ROUND(F284,2)</f>
        <v>0</v>
      </c>
      <c r="K284" s="39">
        <f ca="1">SUM(J284:J284)</f>
        <v>0</v>
      </c>
      <c r="L284" s="28"/>
      <c r="M284" s="28"/>
    </row>
    <row r="285" spans="1:13" ht="15.48" thickBot="1" customHeight="1">
      <c r="A285" s="15" t="s">
        <v>729</v>
      </c>
      <c r="B285" s="8" t="s">
        <v>730</v>
      </c>
      <c r="C285" s="8" t="s">
        <v>731</v>
      </c>
      <c r="D285" s="26" t="s">
        <v>732</v>
      </c>
      <c r="E285" s="26"/>
      <c r="F285" s="26"/>
      <c r="G285" s="26"/>
      <c r="H285" s="26"/>
      <c r="I285" s="26"/>
      <c r="J285" s="26"/>
      <c r="K285" s="27">
        <f ca="1">SUM(K288:K288)</f>
        <v>0</v>
      </c>
      <c r="L285" s="27">
        <f ca="1">ROUND(85.22*(1+M2/100),2)</f>
        <v>0</v>
      </c>
      <c r="M285" s="27">
        <f ca="1">ROUND(K285*L285,2)</f>
        <v>0</v>
      </c>
    </row>
    <row r="286" spans="1:13" ht="12.12" thickBot="1" customHeight="1">
      <c r="A286" s="28"/>
      <c r="B286" s="28"/>
      <c r="C286" s="28"/>
      <c r="D286" s="26" t="s">
        <v>733</v>
      </c>
      <c r="E286" s="26"/>
      <c r="F286" s="26"/>
      <c r="G286" s="26"/>
      <c r="H286" s="26"/>
      <c r="I286" s="26"/>
      <c r="J286" s="26"/>
      <c r="K286" s="26"/>
      <c r="L286" s="26"/>
      <c r="M286" s="26"/>
    </row>
    <row r="287" spans="1:13" ht="15.12" thickBot="1" customHeight="1">
      <c r="A287" s="28"/>
      <c r="B287" s="28"/>
      <c r="C287" s="28"/>
      <c r="D287" s="28"/>
      <c r="E287" s="29"/>
      <c r="F287" s="31" t="s">
        <v>734</v>
      </c>
      <c r="G287" s="31" t="s">
        <v>735</v>
      </c>
      <c r="H287" s="31" t="s">
        <v>736</v>
      </c>
      <c r="I287" s="31" t="s">
        <v>737</v>
      </c>
      <c r="J287" s="31" t="s">
        <v>738</v>
      </c>
      <c r="K287" s="31" t="s">
        <v>739</v>
      </c>
      <c r="L287" s="28"/>
      <c r="M287" s="28"/>
    </row>
    <row r="288" spans="1:13" ht="21.36" thickBot="1" customHeight="1">
      <c r="A288" s="28"/>
      <c r="B288" s="28"/>
      <c r="C288" s="28"/>
      <c r="D288" s="32"/>
      <c r="E288" s="33" t="s">
        <v>740</v>
      </c>
      <c r="F288" s="34">
        <v>3</v>
      </c>
      <c r="G288" s="35"/>
      <c r="H288" s="35"/>
      <c r="I288" s="35"/>
      <c r="J288" s="37">
        <f ca="1">ROUND(F288,2)</f>
        <v>0</v>
      </c>
      <c r="K288" s="39">
        <f ca="1">SUM(J288:J288)</f>
        <v>0</v>
      </c>
      <c r="L288" s="28"/>
      <c r="M288" s="28"/>
    </row>
    <row r="289" spans="1:13" ht="15.48" thickBot="1" customHeight="1">
      <c r="A289" s="15" t="s">
        <v>741</v>
      </c>
      <c r="B289" s="8" t="s">
        <v>742</v>
      </c>
      <c r="C289" s="8" t="s">
        <v>743</v>
      </c>
      <c r="D289" s="26" t="s">
        <v>744</v>
      </c>
      <c r="E289" s="26"/>
      <c r="F289" s="26"/>
      <c r="G289" s="26"/>
      <c r="H289" s="26"/>
      <c r="I289" s="26"/>
      <c r="J289" s="26"/>
      <c r="K289" s="27">
        <f ca="1">SUM(K292:K292)</f>
        <v>0</v>
      </c>
      <c r="L289" s="27">
        <f ca="1">ROUND(27.43*(1+M2/100),2)</f>
        <v>0</v>
      </c>
      <c r="M289" s="27">
        <f ca="1">ROUND(K289*L289,2)</f>
        <v>0</v>
      </c>
    </row>
    <row r="290" spans="1:13" ht="12.12" thickBot="1" customHeight="1">
      <c r="A290" s="28"/>
      <c r="B290" s="28"/>
      <c r="C290" s="28"/>
      <c r="D290" s="26" t="s">
        <v>745</v>
      </c>
      <c r="E290" s="26"/>
      <c r="F290" s="26"/>
      <c r="G290" s="26"/>
      <c r="H290" s="26"/>
      <c r="I290" s="26"/>
      <c r="J290" s="26"/>
      <c r="K290" s="26"/>
      <c r="L290" s="26"/>
      <c r="M290" s="26"/>
    </row>
    <row r="291" spans="1:13" ht="15.12" thickBot="1" customHeight="1">
      <c r="A291" s="28"/>
      <c r="B291" s="28"/>
      <c r="C291" s="28"/>
      <c r="D291" s="28"/>
      <c r="E291" s="29"/>
      <c r="F291" s="31" t="s">
        <v>746</v>
      </c>
      <c r="G291" s="31" t="s">
        <v>747</v>
      </c>
      <c r="H291" s="31" t="s">
        <v>748</v>
      </c>
      <c r="I291" s="31" t="s">
        <v>749</v>
      </c>
      <c r="J291" s="31" t="s">
        <v>750</v>
      </c>
      <c r="K291" s="31" t="s">
        <v>751</v>
      </c>
      <c r="L291" s="28"/>
      <c r="M291" s="28"/>
    </row>
    <row r="292" spans="1:13" ht="15.12" thickBot="1" customHeight="1">
      <c r="A292" s="28"/>
      <c r="B292" s="28"/>
      <c r="C292" s="28"/>
      <c r="D292" s="32"/>
      <c r="E292" s="33" t="s">
        <v>752</v>
      </c>
      <c r="F292" s="34">
        <v>5</v>
      </c>
      <c r="G292" s="35"/>
      <c r="H292" s="35"/>
      <c r="I292" s="35"/>
      <c r="J292" s="37">
        <f ca="1">ROUND(F292,2)</f>
        <v>0</v>
      </c>
      <c r="K292" s="39">
        <f ca="1">SUM(J292:J292)</f>
        <v>0</v>
      </c>
      <c r="L292" s="28"/>
      <c r="M292" s="28"/>
    </row>
    <row r="293" spans="1:13" ht="15.48" thickBot="1" customHeight="1">
      <c r="A293" s="15" t="s">
        <v>753</v>
      </c>
      <c r="B293" s="8" t="s">
        <v>754</v>
      </c>
      <c r="C293" s="8" t="s">
        <v>755</v>
      </c>
      <c r="D293" s="26" t="s">
        <v>756</v>
      </c>
      <c r="E293" s="26"/>
      <c r="F293" s="26"/>
      <c r="G293" s="26"/>
      <c r="H293" s="26"/>
      <c r="I293" s="26"/>
      <c r="J293" s="26"/>
      <c r="K293" s="27">
        <f ca="1">SUM(K296:K296)</f>
        <v>0</v>
      </c>
      <c r="L293" s="27">
        <f ca="1">ROUND(27.17*(1+M2/100),2)</f>
        <v>0</v>
      </c>
      <c r="M293" s="27">
        <f ca="1">ROUND(K293*L293,2)</f>
        <v>0</v>
      </c>
    </row>
    <row r="294" spans="1:13" ht="21.36" thickBot="1" customHeight="1">
      <c r="A294" s="28"/>
      <c r="B294" s="28"/>
      <c r="C294" s="28"/>
      <c r="D294" s="26" t="s">
        <v>757</v>
      </c>
      <c r="E294" s="26"/>
      <c r="F294" s="26"/>
      <c r="G294" s="26"/>
      <c r="H294" s="26"/>
      <c r="I294" s="26"/>
      <c r="J294" s="26"/>
      <c r="K294" s="26"/>
      <c r="L294" s="26"/>
      <c r="M294" s="26"/>
    </row>
    <row r="295" spans="1:13" ht="15.12" thickBot="1" customHeight="1">
      <c r="A295" s="28"/>
      <c r="B295" s="28"/>
      <c r="C295" s="28"/>
      <c r="D295" s="28"/>
      <c r="E295" s="29"/>
      <c r="F295" s="31" t="s">
        <v>758</v>
      </c>
      <c r="G295" s="31" t="s">
        <v>759</v>
      </c>
      <c r="H295" s="31" t="s">
        <v>760</v>
      </c>
      <c r="I295" s="31" t="s">
        <v>761</v>
      </c>
      <c r="J295" s="31" t="s">
        <v>762</v>
      </c>
      <c r="K295" s="31" t="s">
        <v>763</v>
      </c>
      <c r="L295" s="28"/>
      <c r="M295" s="28"/>
    </row>
    <row r="296" spans="1:13" ht="15.12" thickBot="1" customHeight="1">
      <c r="A296" s="28"/>
      <c r="B296" s="28"/>
      <c r="C296" s="28"/>
      <c r="D296" s="32"/>
      <c r="E296" s="33" t="s">
        <v>764</v>
      </c>
      <c r="F296" s="34">
        <v>1</v>
      </c>
      <c r="G296" s="35"/>
      <c r="H296" s="35"/>
      <c r="I296" s="35"/>
      <c r="J296" s="37">
        <f ca="1">ROUND(F296,2)</f>
        <v>0</v>
      </c>
      <c r="K296" s="39">
        <f ca="1">SUM(J296:J296)</f>
        <v>0</v>
      </c>
      <c r="L296" s="28"/>
      <c r="M296" s="28"/>
    </row>
    <row r="297" spans="1:13" ht="15.48" thickBot="1" customHeight="1">
      <c r="A297" s="15" t="s">
        <v>765</v>
      </c>
      <c r="B297" s="8" t="s">
        <v>766</v>
      </c>
      <c r="C297" s="8" t="s">
        <v>767</v>
      </c>
      <c r="D297" s="26" t="s">
        <v>768</v>
      </c>
      <c r="E297" s="26"/>
      <c r="F297" s="26"/>
      <c r="G297" s="26"/>
      <c r="H297" s="26"/>
      <c r="I297" s="26"/>
      <c r="J297" s="26"/>
      <c r="K297" s="27">
        <f ca="1">SUM(K300:K300)</f>
        <v>0</v>
      </c>
      <c r="L297" s="27">
        <f ca="1">ROUND(18.63*(1+M2/100),2)</f>
        <v>0</v>
      </c>
      <c r="M297" s="27">
        <f ca="1">ROUND(K297*L297,2)</f>
        <v>0</v>
      </c>
    </row>
    <row r="298" spans="1:13" ht="12.12" thickBot="1" customHeight="1">
      <c r="A298" s="28"/>
      <c r="B298" s="28"/>
      <c r="C298" s="28"/>
      <c r="D298" s="26" t="s">
        <v>769</v>
      </c>
      <c r="E298" s="26"/>
      <c r="F298" s="26"/>
      <c r="G298" s="26"/>
      <c r="H298" s="26"/>
      <c r="I298" s="26"/>
      <c r="J298" s="26"/>
      <c r="K298" s="26"/>
      <c r="L298" s="26"/>
      <c r="M298" s="26"/>
    </row>
    <row r="299" spans="1:13" ht="15.12" thickBot="1" customHeight="1">
      <c r="A299" s="28"/>
      <c r="B299" s="28"/>
      <c r="C299" s="28"/>
      <c r="D299" s="28"/>
      <c r="E299" s="29"/>
      <c r="F299" s="31" t="s">
        <v>770</v>
      </c>
      <c r="G299" s="31" t="s">
        <v>771</v>
      </c>
      <c r="H299" s="31" t="s">
        <v>772</v>
      </c>
      <c r="I299" s="31" t="s">
        <v>773</v>
      </c>
      <c r="J299" s="31" t="s">
        <v>774</v>
      </c>
      <c r="K299" s="31" t="s">
        <v>775</v>
      </c>
      <c r="L299" s="28"/>
      <c r="M299" s="28"/>
    </row>
    <row r="300" spans="1:13" ht="15.12" thickBot="1" customHeight="1">
      <c r="A300" s="28"/>
      <c r="B300" s="28"/>
      <c r="C300" s="28"/>
      <c r="D300" s="32"/>
      <c r="E300" s="33" t="s">
        <v>776</v>
      </c>
      <c r="F300" s="34">
        <v>6</v>
      </c>
      <c r="G300" s="35"/>
      <c r="H300" s="35"/>
      <c r="I300" s="35"/>
      <c r="J300" s="37">
        <f ca="1">ROUND(F300,2)</f>
        <v>0</v>
      </c>
      <c r="K300" s="39">
        <f ca="1">SUM(J300:J300)</f>
        <v>0</v>
      </c>
      <c r="L300" s="28"/>
      <c r="M300" s="28"/>
    </row>
    <row r="301" spans="1:13" ht="15.48" thickBot="1" customHeight="1">
      <c r="A301" s="15" t="s">
        <v>777</v>
      </c>
      <c r="B301" s="8" t="s">
        <v>778</v>
      </c>
      <c r="C301" s="8" t="s">
        <v>779</v>
      </c>
      <c r="D301" s="26" t="s">
        <v>780</v>
      </c>
      <c r="E301" s="26"/>
      <c r="F301" s="26"/>
      <c r="G301" s="26"/>
      <c r="H301" s="26"/>
      <c r="I301" s="26"/>
      <c r="J301" s="26"/>
      <c r="K301" s="27">
        <f ca="1">SUM(K304:K304)</f>
        <v>0</v>
      </c>
      <c r="L301" s="27">
        <f ca="1">ROUND(106.36*(1+M2/100),2)</f>
        <v>0</v>
      </c>
      <c r="M301" s="27">
        <f ca="1">ROUND(K301*L301,2)</f>
        <v>0</v>
      </c>
    </row>
    <row r="302" spans="1:13" ht="30.60" thickBot="1" customHeight="1">
      <c r="A302" s="28"/>
      <c r="B302" s="28"/>
      <c r="C302" s="28"/>
      <c r="D302" s="26" t="s">
        <v>781</v>
      </c>
      <c r="E302" s="26"/>
      <c r="F302" s="26"/>
      <c r="G302" s="26"/>
      <c r="H302" s="26"/>
      <c r="I302" s="26"/>
      <c r="J302" s="26"/>
      <c r="K302" s="26"/>
      <c r="L302" s="26"/>
      <c r="M302" s="26"/>
    </row>
    <row r="303" spans="1:13" ht="15.12" thickBot="1" customHeight="1">
      <c r="A303" s="28"/>
      <c r="B303" s="28"/>
      <c r="C303" s="28"/>
      <c r="D303" s="28"/>
      <c r="E303" s="29"/>
      <c r="F303" s="31" t="s">
        <v>782</v>
      </c>
      <c r="G303" s="31" t="s">
        <v>783</v>
      </c>
      <c r="H303" s="31" t="s">
        <v>784</v>
      </c>
      <c r="I303" s="31" t="s">
        <v>785</v>
      </c>
      <c r="J303" s="31" t="s">
        <v>786</v>
      </c>
      <c r="K303" s="31" t="s">
        <v>787</v>
      </c>
      <c r="L303" s="28"/>
      <c r="M303" s="28"/>
    </row>
    <row r="304" spans="1:13" ht="15.12" thickBot="1" customHeight="1">
      <c r="A304" s="28"/>
      <c r="B304" s="28"/>
      <c r="C304" s="28"/>
      <c r="D304" s="32"/>
      <c r="E304" s="33" t="s">
        <v>788</v>
      </c>
      <c r="F304" s="34">
        <v>1</v>
      </c>
      <c r="G304" s="35"/>
      <c r="H304" s="35"/>
      <c r="I304" s="35"/>
      <c r="J304" s="37">
        <f ca="1">ROUND(F304,2)</f>
        <v>0</v>
      </c>
      <c r="K304" s="39">
        <f ca="1">SUM(J304:J304)</f>
        <v>0</v>
      </c>
      <c r="L304" s="28"/>
      <c r="M304" s="28"/>
    </row>
    <row r="305" spans="1:13" ht="15.48" thickBot="1" customHeight="1">
      <c r="A305" s="15" t="s">
        <v>789</v>
      </c>
      <c r="B305" s="8" t="s">
        <v>790</v>
      </c>
      <c r="C305" s="8" t="s">
        <v>791</v>
      </c>
      <c r="D305" s="26" t="s">
        <v>792</v>
      </c>
      <c r="E305" s="26"/>
      <c r="F305" s="26"/>
      <c r="G305" s="26"/>
      <c r="H305" s="26"/>
      <c r="I305" s="26"/>
      <c r="J305" s="26"/>
      <c r="K305" s="27">
        <f ca="1">SUM(K308:K308)</f>
        <v>0</v>
      </c>
      <c r="L305" s="27">
        <f ca="1">ROUND(533.59*(1+M2/100),2)</f>
        <v>0</v>
      </c>
      <c r="M305" s="27">
        <f ca="1">ROUND(K305*L305,2)</f>
        <v>0</v>
      </c>
    </row>
    <row r="306" spans="1:13" ht="12.12" thickBot="1" customHeight="1">
      <c r="A306" s="28"/>
      <c r="B306" s="28"/>
      <c r="C306" s="28"/>
      <c r="D306" s="26" t="s">
        <v>793</v>
      </c>
      <c r="E306" s="26"/>
      <c r="F306" s="26"/>
      <c r="G306" s="26"/>
      <c r="H306" s="26"/>
      <c r="I306" s="26"/>
      <c r="J306" s="26"/>
      <c r="K306" s="26"/>
      <c r="L306" s="26"/>
      <c r="M306" s="26"/>
    </row>
    <row r="307" spans="1:13" ht="15.12" thickBot="1" customHeight="1">
      <c r="A307" s="28"/>
      <c r="B307" s="28"/>
      <c r="C307" s="28"/>
      <c r="D307" s="28"/>
      <c r="E307" s="29"/>
      <c r="F307" s="31" t="s">
        <v>794</v>
      </c>
      <c r="G307" s="31" t="s">
        <v>795</v>
      </c>
      <c r="H307" s="31" t="s">
        <v>796</v>
      </c>
      <c r="I307" s="31" t="s">
        <v>797</v>
      </c>
      <c r="J307" s="31" t="s">
        <v>798</v>
      </c>
      <c r="K307" s="31" t="s">
        <v>799</v>
      </c>
      <c r="L307" s="28"/>
      <c r="M307" s="28"/>
    </row>
    <row r="308" spans="1:13" ht="15.12" thickBot="1" customHeight="1">
      <c r="A308" s="28"/>
      <c r="B308" s="28"/>
      <c r="C308" s="28"/>
      <c r="D308" s="32"/>
      <c r="E308" s="33"/>
      <c r="F308" s="34">
        <v>1</v>
      </c>
      <c r="G308" s="35"/>
      <c r="H308" s="35"/>
      <c r="I308" s="35"/>
      <c r="J308" s="37">
        <f ca="1">ROUND(F308,2)</f>
        <v>0</v>
      </c>
      <c r="K308" s="39">
        <f ca="1">SUM(J308:J308)</f>
        <v>0</v>
      </c>
      <c r="L308" s="28"/>
      <c r="M308" s="28"/>
    </row>
    <row r="309" spans="1:13" ht="15.48" thickBot="1" customHeight="1">
      <c r="A309" s="41"/>
      <c r="B309" s="41"/>
      <c r="C309" s="41"/>
      <c r="D309" s="54" t="s">
        <v>800</v>
      </c>
      <c r="E309" s="55"/>
      <c r="F309" s="55"/>
      <c r="G309" s="55"/>
      <c r="H309" s="55"/>
      <c r="I309" s="55"/>
      <c r="J309" s="55"/>
      <c r="K309" s="55"/>
      <c r="L309" s="56">
        <f ca="1">M265+M270+M276+M281+M285+M289+M293+M297+M301+M305</f>
        <v>0</v>
      </c>
      <c r="M309" s="56">
        <f ca="1">ROUND(L309,2)</f>
        <v>0</v>
      </c>
    </row>
    <row r="310" spans="1:13" ht="15.48" thickBot="1" customHeight="1">
      <c r="A310" s="57" t="s">
        <v>801</v>
      </c>
      <c r="B310" s="57" t="s">
        <v>802</v>
      </c>
      <c r="C310" s="58"/>
      <c r="D310" s="59" t="s">
        <v>803</v>
      </c>
      <c r="E310" s="59"/>
      <c r="F310" s="59"/>
      <c r="G310" s="59"/>
      <c r="H310" s="59"/>
      <c r="I310" s="59"/>
      <c r="J310" s="59"/>
      <c r="K310" s="58"/>
      <c r="L310" s="60">
        <f ca="1">L366</f>
        <v>0</v>
      </c>
      <c r="M310" s="60">
        <f ca="1">ROUND(L310,2)</f>
        <v>0</v>
      </c>
    </row>
    <row r="311" spans="1:13" ht="15.48" thickBot="1" customHeight="1">
      <c r="A311" s="15" t="s">
        <v>804</v>
      </c>
      <c r="B311" s="8" t="s">
        <v>805</v>
      </c>
      <c r="C311" s="8" t="s">
        <v>806</v>
      </c>
      <c r="D311" s="26" t="s">
        <v>807</v>
      </c>
      <c r="E311" s="26"/>
      <c r="F311" s="26"/>
      <c r="G311" s="26"/>
      <c r="H311" s="26"/>
      <c r="I311" s="26"/>
      <c r="J311" s="26"/>
      <c r="K311" s="27">
        <f ca="1">SUM(K314:K314)</f>
        <v>0</v>
      </c>
      <c r="L311" s="27">
        <f ca="1">ROUND(25.07*(1+M2/100),2)</f>
        <v>0</v>
      </c>
      <c r="M311" s="27">
        <f ca="1">ROUND(K311*L311,2)</f>
        <v>0</v>
      </c>
    </row>
    <row r="312" spans="1:13" ht="21.36" thickBot="1" customHeight="1">
      <c r="A312" s="28"/>
      <c r="B312" s="28"/>
      <c r="C312" s="28"/>
      <c r="D312" s="26" t="s">
        <v>808</v>
      </c>
      <c r="E312" s="26"/>
      <c r="F312" s="26"/>
      <c r="G312" s="26"/>
      <c r="H312" s="26"/>
      <c r="I312" s="26"/>
      <c r="J312" s="26"/>
      <c r="K312" s="26"/>
      <c r="L312" s="26"/>
      <c r="M312" s="26"/>
    </row>
    <row r="313" spans="1:13" ht="15.12" thickBot="1" customHeight="1">
      <c r="A313" s="28"/>
      <c r="B313" s="28"/>
      <c r="C313" s="28"/>
      <c r="D313" s="28"/>
      <c r="E313" s="29"/>
      <c r="F313" s="31" t="s">
        <v>809</v>
      </c>
      <c r="G313" s="31" t="s">
        <v>810</v>
      </c>
      <c r="H313" s="31" t="s">
        <v>811</v>
      </c>
      <c r="I313" s="31" t="s">
        <v>812</v>
      </c>
      <c r="J313" s="31" t="s">
        <v>813</v>
      </c>
      <c r="K313" s="31" t="s">
        <v>814</v>
      </c>
      <c r="L313" s="28"/>
      <c r="M313" s="28"/>
    </row>
    <row r="314" spans="1:13" ht="15.12" thickBot="1" customHeight="1">
      <c r="A314" s="28"/>
      <c r="B314" s="28"/>
      <c r="C314" s="28"/>
      <c r="D314" s="32"/>
      <c r="E314" s="33" t="s">
        <v>815</v>
      </c>
      <c r="F314" s="34">
        <v>9</v>
      </c>
      <c r="G314" s="35"/>
      <c r="H314" s="35"/>
      <c r="I314" s="35"/>
      <c r="J314" s="37">
        <f ca="1">ROUND(F314,2)</f>
        <v>0</v>
      </c>
      <c r="K314" s="39">
        <f ca="1">SUM(J314:J314)</f>
        <v>0</v>
      </c>
      <c r="L314" s="28"/>
      <c r="M314" s="28"/>
    </row>
    <row r="315" spans="1:13" ht="15.48" thickBot="1" customHeight="1">
      <c r="A315" s="15" t="s">
        <v>816</v>
      </c>
      <c r="B315" s="8" t="s">
        <v>817</v>
      </c>
      <c r="C315" s="8" t="s">
        <v>818</v>
      </c>
      <c r="D315" s="26" t="s">
        <v>819</v>
      </c>
      <c r="E315" s="26"/>
      <c r="F315" s="26"/>
      <c r="G315" s="26"/>
      <c r="H315" s="26"/>
      <c r="I315" s="26"/>
      <c r="J315" s="26"/>
      <c r="K315" s="27">
        <f ca="1">SUM(K318:K330)</f>
        <v>0</v>
      </c>
      <c r="L315" s="27">
        <f ca="1">ROUND(17.64*(1+M2/100),2)</f>
        <v>0</v>
      </c>
      <c r="M315" s="27">
        <f ca="1">ROUND(K315*L315,2)</f>
        <v>0</v>
      </c>
    </row>
    <row r="316" spans="1:13" ht="49.08" thickBot="1" customHeight="1">
      <c r="A316" s="28"/>
      <c r="B316" s="28"/>
      <c r="C316" s="28"/>
      <c r="D316" s="26" t="s">
        <v>820</v>
      </c>
      <c r="E316" s="26"/>
      <c r="F316" s="26"/>
      <c r="G316" s="26"/>
      <c r="H316" s="26"/>
      <c r="I316" s="26"/>
      <c r="J316" s="26"/>
      <c r="K316" s="26"/>
      <c r="L316" s="26"/>
      <c r="M316" s="26"/>
    </row>
    <row r="317" spans="1:13" ht="15.12" thickBot="1" customHeight="1">
      <c r="A317" s="28"/>
      <c r="B317" s="28"/>
      <c r="C317" s="28"/>
      <c r="D317" s="28"/>
      <c r="E317" s="29"/>
      <c r="F317" s="31" t="s">
        <v>821</v>
      </c>
      <c r="G317" s="31" t="s">
        <v>822</v>
      </c>
      <c r="H317" s="31" t="s">
        <v>823</v>
      </c>
      <c r="I317" s="31" t="s">
        <v>824</v>
      </c>
      <c r="J317" s="31" t="s">
        <v>825</v>
      </c>
      <c r="K317" s="31" t="s">
        <v>826</v>
      </c>
      <c r="L317" s="28"/>
      <c r="M317" s="28"/>
    </row>
    <row r="318" spans="1:13" ht="15.12" thickBot="1" customHeight="1">
      <c r="A318" s="28"/>
      <c r="B318" s="28"/>
      <c r="C318" s="28"/>
      <c r="D318" s="32"/>
      <c r="E318" s="33" t="s">
        <v>827</v>
      </c>
      <c r="F318" s="34"/>
      <c r="G318" s="35"/>
      <c r="H318" s="35"/>
      <c r="I318" s="35"/>
      <c r="J318" s="49" t="s">
        <v>828</v>
      </c>
      <c r="K318" s="40"/>
      <c r="L318" s="28"/>
      <c r="M318" s="28"/>
    </row>
    <row r="319" spans="1:13" ht="15.12" thickBot="1" customHeight="1">
      <c r="A319" s="28"/>
      <c r="B319" s="28"/>
      <c r="C319" s="28"/>
      <c r="D319" s="32"/>
      <c r="E319" s="8"/>
      <c r="F319" s="6">
        <v>2</v>
      </c>
      <c r="G319" s="27">
        <v>1.00</v>
      </c>
      <c r="H319" s="27"/>
      <c r="I319" s="27"/>
      <c r="J319" s="36">
        <f ca="1">ROUND(F319*G319,2)</f>
        <v>0</v>
      </c>
      <c r="K319" s="28"/>
      <c r="L319" s="28"/>
      <c r="M319" s="28"/>
    </row>
    <row r="320" spans="1:13" ht="15.12" thickBot="1" customHeight="1">
      <c r="A320" s="28"/>
      <c r="B320" s="28"/>
      <c r="C320" s="28"/>
      <c r="D320" s="32"/>
      <c r="E320" s="8"/>
      <c r="F320" s="6">
        <v>1</v>
      </c>
      <c r="G320" s="27">
        <v>5.50</v>
      </c>
      <c r="H320" s="27"/>
      <c r="I320" s="27"/>
      <c r="J320" s="36">
        <f ca="1">ROUND(F320*G320,2)</f>
        <v>0</v>
      </c>
      <c r="K320" s="28"/>
      <c r="L320" s="28"/>
      <c r="M320" s="28"/>
    </row>
    <row r="321" spans="1:13" ht="15.12" thickBot="1" customHeight="1">
      <c r="A321" s="28"/>
      <c r="B321" s="28"/>
      <c r="C321" s="28"/>
      <c r="D321" s="32"/>
      <c r="E321" s="8"/>
      <c r="F321" s="6">
        <v>2</v>
      </c>
      <c r="G321" s="27">
        <v>7.50</v>
      </c>
      <c r="H321" s="27"/>
      <c r="I321" s="27"/>
      <c r="J321" s="36">
        <f ca="1">ROUND(F321*G321,2)</f>
        <v>0</v>
      </c>
      <c r="K321" s="28"/>
      <c r="L321" s="28"/>
      <c r="M321" s="28"/>
    </row>
    <row r="322" spans="1:13" ht="15.12" thickBot="1" customHeight="1">
      <c r="A322" s="28"/>
      <c r="B322" s="28"/>
      <c r="C322" s="28"/>
      <c r="D322" s="32"/>
      <c r="E322" s="8"/>
      <c r="F322" s="6"/>
      <c r="G322" s="27"/>
      <c r="H322" s="27"/>
      <c r="I322" s="27"/>
      <c r="J322" s="30" t="s">
        <v>829</v>
      </c>
      <c r="K322" s="28"/>
      <c r="L322" s="28"/>
      <c r="M322" s="28"/>
    </row>
    <row r="323" spans="1:13" ht="15.12" thickBot="1" customHeight="1">
      <c r="A323" s="28"/>
      <c r="B323" s="28"/>
      <c r="C323" s="28"/>
      <c r="D323" s="32"/>
      <c r="E323" s="8" t="s">
        <v>830</v>
      </c>
      <c r="F323" s="6"/>
      <c r="G323" s="27"/>
      <c r="H323" s="27"/>
      <c r="I323" s="27"/>
      <c r="J323" s="30" t="s">
        <v>831</v>
      </c>
      <c r="K323" s="28"/>
      <c r="L323" s="28"/>
      <c r="M323" s="28"/>
    </row>
    <row r="324" spans="1:13" ht="15.12" thickBot="1" customHeight="1">
      <c r="A324" s="28"/>
      <c r="B324" s="28"/>
      <c r="C324" s="28"/>
      <c r="D324" s="32"/>
      <c r="E324" s="8"/>
      <c r="F324" s="6">
        <v>1</v>
      </c>
      <c r="G324" s="27">
        <v>4.50</v>
      </c>
      <c r="H324" s="27"/>
      <c r="I324" s="27"/>
      <c r="J324" s="36">
        <f ca="1">ROUND(F324*G324,2)</f>
        <v>0</v>
      </c>
      <c r="K324" s="28"/>
      <c r="L324" s="28"/>
      <c r="M324" s="28"/>
    </row>
    <row r="325" spans="1:13" ht="15.12" thickBot="1" customHeight="1">
      <c r="A325" s="28"/>
      <c r="B325" s="28"/>
      <c r="C325" s="28"/>
      <c r="D325" s="32"/>
      <c r="E325" s="8"/>
      <c r="F325" s="6">
        <v>3</v>
      </c>
      <c r="G325" s="27">
        <v>1.50</v>
      </c>
      <c r="H325" s="27"/>
      <c r="I325" s="27"/>
      <c r="J325" s="36">
        <f ca="1">ROUND(F325*G325,2)</f>
        <v>0</v>
      </c>
      <c r="K325" s="28"/>
      <c r="L325" s="28"/>
      <c r="M325" s="28"/>
    </row>
    <row r="326" spans="1:13" ht="15.12" thickBot="1" customHeight="1">
      <c r="A326" s="28"/>
      <c r="B326" s="28"/>
      <c r="C326" s="28"/>
      <c r="D326" s="32"/>
      <c r="E326" s="8" t="s">
        <v>832</v>
      </c>
      <c r="F326" s="6"/>
      <c r="G326" s="27"/>
      <c r="H326" s="27"/>
      <c r="I326" s="27"/>
      <c r="J326" s="30" t="s">
        <v>833</v>
      </c>
      <c r="K326" s="28"/>
      <c r="L326" s="28"/>
      <c r="M326" s="28"/>
    </row>
    <row r="327" spans="1:13" ht="15.12" thickBot="1" customHeight="1">
      <c r="A327" s="28"/>
      <c r="B327" s="28"/>
      <c r="C327" s="28"/>
      <c r="D327" s="32"/>
      <c r="E327" s="8"/>
      <c r="F327" s="6">
        <v>3</v>
      </c>
      <c r="G327" s="27">
        <v>2.00</v>
      </c>
      <c r="H327" s="27"/>
      <c r="I327" s="27"/>
      <c r="J327" s="36">
        <f ca="1">ROUND(F327*G327,2)</f>
        <v>0</v>
      </c>
      <c r="K327" s="28"/>
      <c r="L327" s="28"/>
      <c r="M327" s="28"/>
    </row>
    <row r="328" spans="1:13" ht="15.12" thickBot="1" customHeight="1">
      <c r="A328" s="28"/>
      <c r="B328" s="28"/>
      <c r="C328" s="28"/>
      <c r="D328" s="32"/>
      <c r="E328" s="8"/>
      <c r="F328" s="6">
        <v>1</v>
      </c>
      <c r="G328" s="27">
        <v>3.00</v>
      </c>
      <c r="H328" s="27"/>
      <c r="I328" s="27"/>
      <c r="J328" s="36">
        <f ca="1">ROUND(F328*G328,2)</f>
        <v>0</v>
      </c>
      <c r="K328" s="28"/>
      <c r="L328" s="28"/>
      <c r="M328" s="28"/>
    </row>
    <row r="329" spans="1:13" ht="15.12" thickBot="1" customHeight="1">
      <c r="A329" s="28"/>
      <c r="B329" s="28"/>
      <c r="C329" s="28"/>
      <c r="D329" s="32"/>
      <c r="E329" s="8" t="s">
        <v>834</v>
      </c>
      <c r="F329" s="6"/>
      <c r="G329" s="27"/>
      <c r="H329" s="27"/>
      <c r="I329" s="27"/>
      <c r="J329" s="30" t="s">
        <v>835</v>
      </c>
      <c r="K329" s="28"/>
      <c r="L329" s="28"/>
      <c r="M329" s="28"/>
    </row>
    <row r="330" spans="1:13" ht="15.12" thickBot="1" customHeight="1">
      <c r="A330" s="28"/>
      <c r="B330" s="28"/>
      <c r="C330" s="28"/>
      <c r="D330" s="32"/>
      <c r="E330" s="8"/>
      <c r="F330" s="6">
        <v>0.1</v>
      </c>
      <c r="G330" s="27">
        <v>40.50</v>
      </c>
      <c r="H330" s="27"/>
      <c r="I330" s="27"/>
      <c r="J330" s="36">
        <f ca="1">ROUND(F330*G330,2)</f>
        <v>0</v>
      </c>
      <c r="K330" s="38">
        <f ca="1">SUM(J318:J330)</f>
        <v>0</v>
      </c>
      <c r="L330" s="28"/>
      <c r="M330" s="28"/>
    </row>
    <row r="331" spans="1:13" ht="15.48" thickBot="1" customHeight="1">
      <c r="A331" s="15" t="s">
        <v>836</v>
      </c>
      <c r="B331" s="8" t="s">
        <v>837</v>
      </c>
      <c r="C331" s="8" t="s">
        <v>838</v>
      </c>
      <c r="D331" s="26" t="s">
        <v>839</v>
      </c>
      <c r="E331" s="26"/>
      <c r="F331" s="26"/>
      <c r="G331" s="26"/>
      <c r="H331" s="26"/>
      <c r="I331" s="26"/>
      <c r="J331" s="26"/>
      <c r="K331" s="27">
        <f ca="1">SUM(K334:K342)</f>
        <v>0</v>
      </c>
      <c r="L331" s="27">
        <f ca="1">ROUND(25.20*(1+M2/100),2)</f>
        <v>0</v>
      </c>
      <c r="M331" s="27">
        <f ca="1">ROUND(K331*L331,2)</f>
        <v>0</v>
      </c>
    </row>
    <row r="332" spans="1:13" ht="49.08" thickBot="1" customHeight="1">
      <c r="A332" s="28"/>
      <c r="B332" s="28"/>
      <c r="C332" s="28"/>
      <c r="D332" s="26" t="s">
        <v>840</v>
      </c>
      <c r="E332" s="26"/>
      <c r="F332" s="26"/>
      <c r="G332" s="26"/>
      <c r="H332" s="26"/>
      <c r="I332" s="26"/>
      <c r="J332" s="26"/>
      <c r="K332" s="26"/>
      <c r="L332" s="26"/>
      <c r="M332" s="26"/>
    </row>
    <row r="333" spans="1:13" ht="15.12" thickBot="1" customHeight="1">
      <c r="A333" s="28"/>
      <c r="B333" s="28"/>
      <c r="C333" s="28"/>
      <c r="D333" s="28"/>
      <c r="E333" s="29"/>
      <c r="F333" s="31" t="s">
        <v>841</v>
      </c>
      <c r="G333" s="31" t="s">
        <v>842</v>
      </c>
      <c r="H333" s="31" t="s">
        <v>843</v>
      </c>
      <c r="I333" s="31" t="s">
        <v>844</v>
      </c>
      <c r="J333" s="31" t="s">
        <v>845</v>
      </c>
      <c r="K333" s="31" t="s">
        <v>846</v>
      </c>
      <c r="L333" s="28"/>
      <c r="M333" s="28"/>
    </row>
    <row r="334" spans="1:13" ht="15.12" thickBot="1" customHeight="1">
      <c r="A334" s="28"/>
      <c r="B334" s="28"/>
      <c r="C334" s="28"/>
      <c r="D334" s="32"/>
      <c r="E334" s="33" t="s">
        <v>847</v>
      </c>
      <c r="F334" s="34"/>
      <c r="G334" s="35"/>
      <c r="H334" s="35"/>
      <c r="I334" s="35"/>
      <c r="J334" s="49" t="s">
        <v>848</v>
      </c>
      <c r="K334" s="40"/>
      <c r="L334" s="28"/>
      <c r="M334" s="28"/>
    </row>
    <row r="335" spans="1:13" ht="15.12" thickBot="1" customHeight="1">
      <c r="A335" s="28"/>
      <c r="B335" s="28"/>
      <c r="C335" s="28"/>
      <c r="D335" s="32"/>
      <c r="E335" s="8"/>
      <c r="F335" s="6">
        <v>1</v>
      </c>
      <c r="G335" s="27">
        <v>7.50</v>
      </c>
      <c r="H335" s="27"/>
      <c r="I335" s="27"/>
      <c r="J335" s="36">
        <f ca="1">ROUND(F335*G335,2)</f>
        <v>0</v>
      </c>
      <c r="K335" s="28"/>
      <c r="L335" s="28"/>
      <c r="M335" s="28"/>
    </row>
    <row r="336" spans="1:13" ht="15.12" thickBot="1" customHeight="1">
      <c r="A336" s="28"/>
      <c r="B336" s="28"/>
      <c r="C336" s="28"/>
      <c r="D336" s="32"/>
      <c r="E336" s="8"/>
      <c r="F336" s="6">
        <v>1</v>
      </c>
      <c r="G336" s="27">
        <v>15.00</v>
      </c>
      <c r="H336" s="27"/>
      <c r="I336" s="27"/>
      <c r="J336" s="36">
        <f ca="1">ROUND(F336*G336,2)</f>
        <v>0</v>
      </c>
      <c r="K336" s="28"/>
      <c r="L336" s="28"/>
      <c r="M336" s="28"/>
    </row>
    <row r="337" spans="1:13" ht="15.12" thickBot="1" customHeight="1">
      <c r="A337" s="28"/>
      <c r="B337" s="28"/>
      <c r="C337" s="28"/>
      <c r="D337" s="32"/>
      <c r="E337" s="8"/>
      <c r="F337" s="6">
        <v>1</v>
      </c>
      <c r="G337" s="27">
        <v>11.50</v>
      </c>
      <c r="H337" s="27"/>
      <c r="I337" s="27"/>
      <c r="J337" s="36">
        <f ca="1">ROUND(F337*G337,2)</f>
        <v>0</v>
      </c>
      <c r="K337" s="28"/>
      <c r="L337" s="28"/>
      <c r="M337" s="28"/>
    </row>
    <row r="338" spans="1:13" ht="15.12" thickBot="1" customHeight="1">
      <c r="A338" s="28"/>
      <c r="B338" s="28"/>
      <c r="C338" s="28"/>
      <c r="D338" s="32"/>
      <c r="E338" s="8" t="s">
        <v>849</v>
      </c>
      <c r="F338" s="6"/>
      <c r="G338" s="27"/>
      <c r="H338" s="27"/>
      <c r="I338" s="27"/>
      <c r="J338" s="30" t="s">
        <v>850</v>
      </c>
      <c r="K338" s="28"/>
      <c r="L338" s="28"/>
      <c r="M338" s="28"/>
    </row>
    <row r="339" spans="1:13" ht="15.12" thickBot="1" customHeight="1">
      <c r="A339" s="28"/>
      <c r="B339" s="28"/>
      <c r="C339" s="28"/>
      <c r="D339" s="32"/>
      <c r="E339" s="8"/>
      <c r="F339" s="6">
        <v>1</v>
      </c>
      <c r="G339" s="27">
        <v>10.50</v>
      </c>
      <c r="H339" s="27"/>
      <c r="I339" s="27"/>
      <c r="J339" s="36">
        <f ca="1">ROUND(F339*G339,2)</f>
        <v>0</v>
      </c>
      <c r="K339" s="28"/>
      <c r="L339" s="28"/>
      <c r="M339" s="28"/>
    </row>
    <row r="340" spans="1:13" ht="15.12" thickBot="1" customHeight="1">
      <c r="A340" s="28"/>
      <c r="B340" s="28"/>
      <c r="C340" s="28"/>
      <c r="D340" s="32"/>
      <c r="E340" s="8"/>
      <c r="F340" s="6">
        <v>1</v>
      </c>
      <c r="G340" s="27">
        <v>11.50</v>
      </c>
      <c r="H340" s="27"/>
      <c r="I340" s="27"/>
      <c r="J340" s="36">
        <f ca="1">ROUND(F340*G340,2)</f>
        <v>0</v>
      </c>
      <c r="K340" s="28"/>
      <c r="L340" s="28"/>
      <c r="M340" s="28"/>
    </row>
    <row r="341" spans="1:13" ht="15.12" thickBot="1" customHeight="1">
      <c r="A341" s="28"/>
      <c r="B341" s="28"/>
      <c r="C341" s="28"/>
      <c r="D341" s="32"/>
      <c r="E341" s="8" t="s">
        <v>851</v>
      </c>
      <c r="F341" s="6"/>
      <c r="G341" s="27"/>
      <c r="H341" s="27"/>
      <c r="I341" s="27"/>
      <c r="J341" s="30" t="s">
        <v>852</v>
      </c>
      <c r="K341" s="28"/>
      <c r="L341" s="28"/>
      <c r="M341" s="28"/>
    </row>
    <row r="342" spans="1:13" ht="15.12" thickBot="1" customHeight="1">
      <c r="A342" s="28"/>
      <c r="B342" s="28"/>
      <c r="C342" s="28"/>
      <c r="D342" s="32"/>
      <c r="E342" s="8"/>
      <c r="F342" s="6">
        <v>0.1</v>
      </c>
      <c r="G342" s="27">
        <v>56.00</v>
      </c>
      <c r="H342" s="27"/>
      <c r="I342" s="27"/>
      <c r="J342" s="36">
        <f ca="1">ROUND(F342*G342,2)</f>
        <v>0</v>
      </c>
      <c r="K342" s="38">
        <f ca="1">SUM(J334:J342)</f>
        <v>0</v>
      </c>
      <c r="L342" s="28"/>
      <c r="M342" s="28"/>
    </row>
    <row r="343" spans="1:13" ht="15.48" thickBot="1" customHeight="1">
      <c r="A343" s="15" t="s">
        <v>853</v>
      </c>
      <c r="B343" s="8" t="s">
        <v>854</v>
      </c>
      <c r="C343" s="8" t="s">
        <v>855</v>
      </c>
      <c r="D343" s="26" t="s">
        <v>856</v>
      </c>
      <c r="E343" s="26"/>
      <c r="F343" s="26"/>
      <c r="G343" s="26"/>
      <c r="H343" s="26"/>
      <c r="I343" s="26"/>
      <c r="J343" s="26"/>
      <c r="K343" s="27">
        <f ca="1">SUM(K346:K347)</f>
        <v>0</v>
      </c>
      <c r="L343" s="27">
        <f ca="1">ROUND(10.98*(1+M2/100),2)</f>
        <v>0</v>
      </c>
      <c r="M343" s="27">
        <f ca="1">ROUND(K343*L343,2)</f>
        <v>0</v>
      </c>
    </row>
    <row r="344" spans="1:13" ht="21.36" thickBot="1" customHeight="1">
      <c r="A344" s="28"/>
      <c r="B344" s="28"/>
      <c r="C344" s="28"/>
      <c r="D344" s="26" t="s">
        <v>857</v>
      </c>
      <c r="E344" s="26"/>
      <c r="F344" s="26"/>
      <c r="G344" s="26"/>
      <c r="H344" s="26"/>
      <c r="I344" s="26"/>
      <c r="J344" s="26"/>
      <c r="K344" s="26"/>
      <c r="L344" s="26"/>
      <c r="M344" s="26"/>
    </row>
    <row r="345" spans="1:13" ht="15.12" thickBot="1" customHeight="1">
      <c r="A345" s="28"/>
      <c r="B345" s="28"/>
      <c r="C345" s="28"/>
      <c r="D345" s="28"/>
      <c r="E345" s="29"/>
      <c r="F345" s="31" t="s">
        <v>858</v>
      </c>
      <c r="G345" s="31" t="s">
        <v>859</v>
      </c>
      <c r="H345" s="31" t="s">
        <v>860</v>
      </c>
      <c r="I345" s="31" t="s">
        <v>861</v>
      </c>
      <c r="J345" s="31" t="s">
        <v>862</v>
      </c>
      <c r="K345" s="31" t="s">
        <v>863</v>
      </c>
      <c r="L345" s="28"/>
      <c r="M345" s="28"/>
    </row>
    <row r="346" spans="1:13" ht="15.12" thickBot="1" customHeight="1">
      <c r="A346" s="28"/>
      <c r="B346" s="28"/>
      <c r="C346" s="28"/>
      <c r="D346" s="32"/>
      <c r="E346" s="33" t="s">
        <v>864</v>
      </c>
      <c r="F346" s="34"/>
      <c r="G346" s="35">
        <v>44.55</v>
      </c>
      <c r="H346" s="35">
        <v>0.40</v>
      </c>
      <c r="I346" s="35">
        <v>0.60</v>
      </c>
      <c r="J346" s="37">
        <f ca="1">ROUND(G346*H346*I346,2)</f>
        <v>0</v>
      </c>
      <c r="K346" s="40"/>
      <c r="L346" s="28"/>
      <c r="M346" s="28"/>
    </row>
    <row r="347" spans="1:13" ht="15.12" thickBot="1" customHeight="1">
      <c r="A347" s="28"/>
      <c r="B347" s="28"/>
      <c r="C347" s="28"/>
      <c r="D347" s="32"/>
      <c r="E347" s="8" t="s">
        <v>865</v>
      </c>
      <c r="F347" s="6"/>
      <c r="G347" s="27">
        <v>61.60</v>
      </c>
      <c r="H347" s="27">
        <v>0.40</v>
      </c>
      <c r="I347" s="27">
        <v>0.60</v>
      </c>
      <c r="J347" s="36">
        <f ca="1">ROUND(G347*H347*I347,2)</f>
        <v>0</v>
      </c>
      <c r="K347" s="38">
        <f ca="1">SUM(J346:J347)</f>
        <v>0</v>
      </c>
      <c r="L347" s="28"/>
      <c r="M347" s="28"/>
    </row>
    <row r="348" spans="1:13" ht="15.48" thickBot="1" customHeight="1">
      <c r="A348" s="15" t="s">
        <v>866</v>
      </c>
      <c r="B348" s="8" t="s">
        <v>867</v>
      </c>
      <c r="C348" s="8" t="s">
        <v>868</v>
      </c>
      <c r="D348" s="26" t="s">
        <v>869</v>
      </c>
      <c r="E348" s="26"/>
      <c r="F348" s="26"/>
      <c r="G348" s="26"/>
      <c r="H348" s="26"/>
      <c r="I348" s="26"/>
      <c r="J348" s="26"/>
      <c r="K348" s="27">
        <f ca="1">SUM(K351:K351)</f>
        <v>0</v>
      </c>
      <c r="L348" s="27">
        <f ca="1">ROUND(11.58*(1+M2/100),2)</f>
        <v>0</v>
      </c>
      <c r="M348" s="27">
        <f ca="1">ROUND(K348*L348,2)</f>
        <v>0</v>
      </c>
    </row>
    <row r="349" spans="1:13" ht="12.12" thickBot="1" customHeight="1">
      <c r="A349" s="28"/>
      <c r="B349" s="28"/>
      <c r="C349" s="28"/>
      <c r="D349" s="26" t="s">
        <v>870</v>
      </c>
      <c r="E349" s="26"/>
      <c r="F349" s="26"/>
      <c r="G349" s="26"/>
      <c r="H349" s="26"/>
      <c r="I349" s="26"/>
      <c r="J349" s="26"/>
      <c r="K349" s="26"/>
      <c r="L349" s="26"/>
      <c r="M349" s="26"/>
    </row>
    <row r="350" spans="1:13" ht="15.12" thickBot="1" customHeight="1">
      <c r="A350" s="28"/>
      <c r="B350" s="28"/>
      <c r="C350" s="28"/>
      <c r="D350" s="28"/>
      <c r="E350" s="29"/>
      <c r="F350" s="31" t="s">
        <v>871</v>
      </c>
      <c r="G350" s="31" t="s">
        <v>872</v>
      </c>
      <c r="H350" s="31" t="s">
        <v>873</v>
      </c>
      <c r="I350" s="31" t="s">
        <v>874</v>
      </c>
      <c r="J350" s="31" t="s">
        <v>875</v>
      </c>
      <c r="K350" s="31" t="s">
        <v>876</v>
      </c>
      <c r="L350" s="28"/>
      <c r="M350" s="28"/>
    </row>
    <row r="351" spans="1:13" ht="15.12" thickBot="1" customHeight="1">
      <c r="A351" s="28"/>
      <c r="B351" s="28"/>
      <c r="C351" s="28"/>
      <c r="D351" s="32"/>
      <c r="E351" s="33" t="s">
        <v>877</v>
      </c>
      <c r="F351" s="34">
        <v>0.8</v>
      </c>
      <c r="G351" s="35">
        <v>25.47</v>
      </c>
      <c r="H351" s="35"/>
      <c r="I351" s="35"/>
      <c r="J351" s="37">
        <f ca="1">ROUND(F351*G351,2)</f>
        <v>0</v>
      </c>
      <c r="K351" s="39">
        <f ca="1">SUM(J351:J351)</f>
        <v>0</v>
      </c>
      <c r="L351" s="28"/>
      <c r="M351" s="28"/>
    </row>
    <row r="352" spans="1:13" ht="15.48" thickBot="1" customHeight="1">
      <c r="A352" s="15" t="s">
        <v>878</v>
      </c>
      <c r="B352" s="8" t="s">
        <v>879</v>
      </c>
      <c r="C352" s="8" t="s">
        <v>880</v>
      </c>
      <c r="D352" s="26" t="s">
        <v>881</v>
      </c>
      <c r="E352" s="26"/>
      <c r="F352" s="26"/>
      <c r="G352" s="26"/>
      <c r="H352" s="26"/>
      <c r="I352" s="26"/>
      <c r="J352" s="26"/>
      <c r="K352" s="27">
        <f ca="1">SUM(K355:K357)</f>
        <v>0</v>
      </c>
      <c r="L352" s="27">
        <f ca="1">ROUND(1.34*(1+M2/100),2)</f>
        <v>0</v>
      </c>
      <c r="M352" s="27">
        <f ca="1">ROUND(K352*L352,2)</f>
        <v>0</v>
      </c>
    </row>
    <row r="353" spans="1:13" ht="21.36" thickBot="1" customHeight="1">
      <c r="A353" s="28"/>
      <c r="B353" s="28"/>
      <c r="C353" s="28"/>
      <c r="D353" s="26" t="s">
        <v>882</v>
      </c>
      <c r="E353" s="26"/>
      <c r="F353" s="26"/>
      <c r="G353" s="26"/>
      <c r="H353" s="26"/>
      <c r="I353" s="26"/>
      <c r="J353" s="26"/>
      <c r="K353" s="26"/>
      <c r="L353" s="26"/>
      <c r="M353" s="26"/>
    </row>
    <row r="354" spans="1:13" ht="15.12" thickBot="1" customHeight="1">
      <c r="A354" s="28"/>
      <c r="B354" s="28"/>
      <c r="C354" s="28"/>
      <c r="D354" s="28"/>
      <c r="E354" s="29"/>
      <c r="F354" s="31" t="s">
        <v>883</v>
      </c>
      <c r="G354" s="31" t="s">
        <v>884</v>
      </c>
      <c r="H354" s="31" t="s">
        <v>885</v>
      </c>
      <c r="I354" s="31" t="s">
        <v>886</v>
      </c>
      <c r="J354" s="31" t="s">
        <v>887</v>
      </c>
      <c r="K354" s="31" t="s">
        <v>888</v>
      </c>
      <c r="L354" s="28"/>
      <c r="M354" s="28"/>
    </row>
    <row r="355" spans="1:13" ht="21.36" thickBot="1" customHeight="1">
      <c r="A355" s="28"/>
      <c r="B355" s="28"/>
      <c r="C355" s="28"/>
      <c r="D355" s="32"/>
      <c r="E355" s="33" t="s">
        <v>889</v>
      </c>
      <c r="F355" s="34"/>
      <c r="G355" s="35"/>
      <c r="H355" s="35"/>
      <c r="I355" s="35"/>
      <c r="J355" s="49" t="s">
        <v>890</v>
      </c>
      <c r="K355" s="40"/>
      <c r="L355" s="28"/>
      <c r="M355" s="28"/>
    </row>
    <row r="356" spans="1:13" ht="15.12" thickBot="1" customHeight="1">
      <c r="A356" s="28"/>
      <c r="B356" s="28"/>
      <c r="C356" s="28"/>
      <c r="D356" s="32"/>
      <c r="E356" s="8"/>
      <c r="F356" s="6">
        <v>1</v>
      </c>
      <c r="G356" s="27">
        <v>25.47</v>
      </c>
      <c r="H356" s="27"/>
      <c r="I356" s="27"/>
      <c r="J356" s="36">
        <f ca="1">ROUND(F356*G356,2)</f>
        <v>0</v>
      </c>
      <c r="K356" s="28"/>
      <c r="L356" s="28"/>
      <c r="M356" s="28"/>
    </row>
    <row r="357" spans="1:13" ht="15.12" thickBot="1" customHeight="1">
      <c r="A357" s="28"/>
      <c r="B357" s="28"/>
      <c r="C357" s="28"/>
      <c r="D357" s="32"/>
      <c r="E357" s="8"/>
      <c r="F357" s="6">
        <v>-1</v>
      </c>
      <c r="G357" s="27">
        <v>20.38</v>
      </c>
      <c r="H357" s="27"/>
      <c r="I357" s="27"/>
      <c r="J357" s="36">
        <f ca="1">ROUND(F357*G357,2)</f>
        <v>0</v>
      </c>
      <c r="K357" s="38">
        <f ca="1">SUM(J355:J357)</f>
        <v>0</v>
      </c>
      <c r="L357" s="28"/>
      <c r="M357" s="28"/>
    </row>
    <row r="358" spans="1:13" ht="15.48" thickBot="1" customHeight="1">
      <c r="A358" s="15" t="s">
        <v>891</v>
      </c>
      <c r="B358" s="8" t="s">
        <v>892</v>
      </c>
      <c r="C358" s="8" t="s">
        <v>893</v>
      </c>
      <c r="D358" s="26" t="s">
        <v>894</v>
      </c>
      <c r="E358" s="26"/>
      <c r="F358" s="26"/>
      <c r="G358" s="26"/>
      <c r="H358" s="26"/>
      <c r="I358" s="26"/>
      <c r="J358" s="26"/>
      <c r="K358" s="27">
        <f ca="1">SUM(K361:K361)</f>
        <v>0</v>
      </c>
      <c r="L358" s="27">
        <f ca="1">ROUND(239.92*(1+M2/100),2)</f>
        <v>0</v>
      </c>
      <c r="M358" s="27">
        <f ca="1">ROUND(K358*L358,2)</f>
        <v>0</v>
      </c>
    </row>
    <row r="359" spans="1:13" ht="21.36" thickBot="1" customHeight="1">
      <c r="A359" s="28"/>
      <c r="B359" s="28"/>
      <c r="C359" s="28"/>
      <c r="D359" s="26" t="s">
        <v>895</v>
      </c>
      <c r="E359" s="26"/>
      <c r="F359" s="26"/>
      <c r="G359" s="26"/>
      <c r="H359" s="26"/>
      <c r="I359" s="26"/>
      <c r="J359" s="26"/>
      <c r="K359" s="26"/>
      <c r="L359" s="26"/>
      <c r="M359" s="26"/>
    </row>
    <row r="360" spans="1:13" ht="15.12" thickBot="1" customHeight="1">
      <c r="A360" s="28"/>
      <c r="B360" s="28"/>
      <c r="C360" s="28"/>
      <c r="D360" s="28"/>
      <c r="E360" s="29"/>
      <c r="F360" s="31" t="s">
        <v>896</v>
      </c>
      <c r="G360" s="31" t="s">
        <v>897</v>
      </c>
      <c r="H360" s="31" t="s">
        <v>898</v>
      </c>
      <c r="I360" s="31" t="s">
        <v>899</v>
      </c>
      <c r="J360" s="31" t="s">
        <v>900</v>
      </c>
      <c r="K360" s="31" t="s">
        <v>901</v>
      </c>
      <c r="L360" s="28"/>
      <c r="M360" s="28"/>
    </row>
    <row r="361" spans="1:13" ht="21.36" thickBot="1" customHeight="1">
      <c r="A361" s="28"/>
      <c r="B361" s="28"/>
      <c r="C361" s="28"/>
      <c r="D361" s="32"/>
      <c r="E361" s="33" t="s">
        <v>902</v>
      </c>
      <c r="F361" s="34">
        <v>7</v>
      </c>
      <c r="G361" s="35"/>
      <c r="H361" s="35"/>
      <c r="I361" s="35"/>
      <c r="J361" s="37">
        <f ca="1">ROUND(F361,2)</f>
        <v>0</v>
      </c>
      <c r="K361" s="39">
        <f ca="1">SUM(J361:J361)</f>
        <v>0</v>
      </c>
      <c r="L361" s="28"/>
      <c r="M361" s="28"/>
    </row>
    <row r="362" spans="1:13" ht="15.48" thickBot="1" customHeight="1">
      <c r="A362" s="15" t="s">
        <v>903</v>
      </c>
      <c r="B362" s="8" t="s">
        <v>904</v>
      </c>
      <c r="C362" s="8" t="s">
        <v>905</v>
      </c>
      <c r="D362" s="26" t="s">
        <v>906</v>
      </c>
      <c r="E362" s="26"/>
      <c r="F362" s="26"/>
      <c r="G362" s="26"/>
      <c r="H362" s="26"/>
      <c r="I362" s="26"/>
      <c r="J362" s="26"/>
      <c r="K362" s="27">
        <f ca="1">SUM(K365:K365)</f>
        <v>0</v>
      </c>
      <c r="L362" s="27">
        <f ca="1">ROUND(483.12*(1+M2/100),2)</f>
        <v>0</v>
      </c>
      <c r="M362" s="27">
        <f ca="1">ROUND(K362*L362,2)</f>
        <v>0</v>
      </c>
    </row>
    <row r="363" spans="1:13" ht="30.60" thickBot="1" customHeight="1">
      <c r="A363" s="28"/>
      <c r="B363" s="28"/>
      <c r="C363" s="28"/>
      <c r="D363" s="26" t="s">
        <v>907</v>
      </c>
      <c r="E363" s="26"/>
      <c r="F363" s="26"/>
      <c r="G363" s="26"/>
      <c r="H363" s="26"/>
      <c r="I363" s="26"/>
      <c r="J363" s="26"/>
      <c r="K363" s="26"/>
      <c r="L363" s="26"/>
      <c r="M363" s="26"/>
    </row>
    <row r="364" spans="1:13" ht="15.12" thickBot="1" customHeight="1">
      <c r="A364" s="28"/>
      <c r="B364" s="28"/>
      <c r="C364" s="28"/>
      <c r="D364" s="28"/>
      <c r="E364" s="29"/>
      <c r="F364" s="31" t="s">
        <v>908</v>
      </c>
      <c r="G364" s="31" t="s">
        <v>909</v>
      </c>
      <c r="H364" s="31" t="s">
        <v>910</v>
      </c>
      <c r="I364" s="31" t="s">
        <v>911</v>
      </c>
      <c r="J364" s="31" t="s">
        <v>912</v>
      </c>
      <c r="K364" s="31" t="s">
        <v>913</v>
      </c>
      <c r="L364" s="28"/>
      <c r="M364" s="28"/>
    </row>
    <row r="365" spans="1:13" ht="21.36" thickBot="1" customHeight="1">
      <c r="A365" s="28"/>
      <c r="B365" s="28"/>
      <c r="C365" s="28"/>
      <c r="D365" s="32"/>
      <c r="E365" s="33" t="s">
        <v>914</v>
      </c>
      <c r="F365" s="34">
        <v>1</v>
      </c>
      <c r="G365" s="35"/>
      <c r="H365" s="35"/>
      <c r="I365" s="35"/>
      <c r="J365" s="37">
        <f ca="1">ROUND(F365,2)</f>
        <v>0</v>
      </c>
      <c r="K365" s="39">
        <f ca="1">SUM(J365:J365)</f>
        <v>0</v>
      </c>
      <c r="L365" s="28"/>
      <c r="M365" s="28"/>
    </row>
    <row r="366" spans="1:13" ht="15.48" thickBot="1" customHeight="1">
      <c r="A366" s="41"/>
      <c r="B366" s="41"/>
      <c r="C366" s="41"/>
      <c r="D366" s="54" t="s">
        <v>915</v>
      </c>
      <c r="E366" s="55"/>
      <c r="F366" s="55"/>
      <c r="G366" s="55"/>
      <c r="H366" s="55"/>
      <c r="I366" s="55"/>
      <c r="J366" s="55"/>
      <c r="K366" s="55"/>
      <c r="L366" s="56">
        <f ca="1">M311+M315+M331+M343+M348+M352+M358+M362</f>
        <v>0</v>
      </c>
      <c r="M366" s="56">
        <f ca="1">ROUND(L366,2)</f>
        <v>0</v>
      </c>
    </row>
    <row r="367" spans="1:13" ht="15.48" thickBot="1" customHeight="1">
      <c r="A367" s="57" t="s">
        <v>916</v>
      </c>
      <c r="B367" s="57" t="s">
        <v>917</v>
      </c>
      <c r="C367" s="58"/>
      <c r="D367" s="59" t="s">
        <v>918</v>
      </c>
      <c r="E367" s="59"/>
      <c r="F367" s="59"/>
      <c r="G367" s="59"/>
      <c r="H367" s="59"/>
      <c r="I367" s="59"/>
      <c r="J367" s="59"/>
      <c r="K367" s="58"/>
      <c r="L367" s="60">
        <f ca="1">L376</f>
        <v>0</v>
      </c>
      <c r="M367" s="60">
        <f ca="1">ROUND(L367,2)</f>
        <v>0</v>
      </c>
    </row>
    <row r="368" spans="1:13" ht="15.48" thickBot="1" customHeight="1">
      <c r="A368" s="15" t="s">
        <v>919</v>
      </c>
      <c r="B368" s="8" t="s">
        <v>920</v>
      </c>
      <c r="C368" s="8" t="s">
        <v>921</v>
      </c>
      <c r="D368" s="26" t="s">
        <v>922</v>
      </c>
      <c r="E368" s="26"/>
      <c r="F368" s="26"/>
      <c r="G368" s="26"/>
      <c r="H368" s="26"/>
      <c r="I368" s="26"/>
      <c r="J368" s="26"/>
      <c r="K368" s="27">
        <f ca="1">SUM(K371:K371)</f>
        <v>0</v>
      </c>
      <c r="L368" s="27">
        <f ca="1">ROUND(85.22*(1+M2/100),2)</f>
        <v>0</v>
      </c>
      <c r="M368" s="27">
        <f ca="1">ROUND(K368*L368,2)</f>
        <v>0</v>
      </c>
    </row>
    <row r="369" spans="1:13" ht="12.12" thickBot="1" customHeight="1">
      <c r="A369" s="28"/>
      <c r="B369" s="28"/>
      <c r="C369" s="28"/>
      <c r="D369" s="26" t="s">
        <v>923</v>
      </c>
      <c r="E369" s="26"/>
      <c r="F369" s="26"/>
      <c r="G369" s="26"/>
      <c r="H369" s="26"/>
      <c r="I369" s="26"/>
      <c r="J369" s="26"/>
      <c r="K369" s="26"/>
      <c r="L369" s="26"/>
      <c r="M369" s="26"/>
    </row>
    <row r="370" spans="1:13" ht="15.12" thickBot="1" customHeight="1">
      <c r="A370" s="28"/>
      <c r="B370" s="28"/>
      <c r="C370" s="28"/>
      <c r="D370" s="28"/>
      <c r="E370" s="29"/>
      <c r="F370" s="31" t="s">
        <v>924</v>
      </c>
      <c r="G370" s="31" t="s">
        <v>925</v>
      </c>
      <c r="H370" s="31" t="s">
        <v>926</v>
      </c>
      <c r="I370" s="31" t="s">
        <v>927</v>
      </c>
      <c r="J370" s="31" t="s">
        <v>928</v>
      </c>
      <c r="K370" s="31" t="s">
        <v>929</v>
      </c>
      <c r="L370" s="28"/>
      <c r="M370" s="28"/>
    </row>
    <row r="371" spans="1:13" ht="21.36" thickBot="1" customHeight="1">
      <c r="A371" s="28"/>
      <c r="B371" s="28"/>
      <c r="C371" s="28"/>
      <c r="D371" s="32"/>
      <c r="E371" s="33" t="s">
        <v>930</v>
      </c>
      <c r="F371" s="34">
        <v>1</v>
      </c>
      <c r="G371" s="35"/>
      <c r="H371" s="35"/>
      <c r="I371" s="35"/>
      <c r="J371" s="37">
        <f ca="1">ROUND(F371,2)</f>
        <v>0</v>
      </c>
      <c r="K371" s="39">
        <f ca="1">SUM(J371:J371)</f>
        <v>0</v>
      </c>
      <c r="L371" s="28"/>
      <c r="M371" s="28"/>
    </row>
    <row r="372" spans="1:13" ht="15.48" thickBot="1" customHeight="1">
      <c r="A372" s="15" t="s">
        <v>931</v>
      </c>
      <c r="B372" s="8" t="s">
        <v>932</v>
      </c>
      <c r="C372" s="8" t="s">
        <v>933</v>
      </c>
      <c r="D372" s="26" t="s">
        <v>934</v>
      </c>
      <c r="E372" s="26"/>
      <c r="F372" s="26"/>
      <c r="G372" s="26"/>
      <c r="H372" s="26"/>
      <c r="I372" s="26"/>
      <c r="J372" s="26"/>
      <c r="K372" s="27">
        <f ca="1">SUM(K375:K375)</f>
        <v>0</v>
      </c>
      <c r="L372" s="27">
        <f ca="1">ROUND(15.31*(1+M2/100),2)</f>
        <v>0</v>
      </c>
      <c r="M372" s="27">
        <f ca="1">ROUND(K372*L372,2)</f>
        <v>0</v>
      </c>
    </row>
    <row r="373" spans="1:13" ht="30.60" thickBot="1" customHeight="1">
      <c r="A373" s="28"/>
      <c r="B373" s="28"/>
      <c r="C373" s="28"/>
      <c r="D373" s="26" t="s">
        <v>935</v>
      </c>
      <c r="E373" s="26"/>
      <c r="F373" s="26"/>
      <c r="G373" s="26"/>
      <c r="H373" s="26"/>
      <c r="I373" s="26"/>
      <c r="J373" s="26"/>
      <c r="K373" s="26"/>
      <c r="L373" s="26"/>
      <c r="M373" s="26"/>
    </row>
    <row r="374" spans="1:13" ht="15.12" thickBot="1" customHeight="1">
      <c r="A374" s="28"/>
      <c r="B374" s="28"/>
      <c r="C374" s="28"/>
      <c r="D374" s="28"/>
      <c r="E374" s="29"/>
      <c r="F374" s="31" t="s">
        <v>936</v>
      </c>
      <c r="G374" s="31" t="s">
        <v>937</v>
      </c>
      <c r="H374" s="31" t="s">
        <v>938</v>
      </c>
      <c r="I374" s="31" t="s">
        <v>939</v>
      </c>
      <c r="J374" s="31" t="s">
        <v>940</v>
      </c>
      <c r="K374" s="31" t="s">
        <v>941</v>
      </c>
      <c r="L374" s="28"/>
      <c r="M374" s="28"/>
    </row>
    <row r="375" spans="1:13" ht="21.36" thickBot="1" customHeight="1">
      <c r="A375" s="28"/>
      <c r="B375" s="28"/>
      <c r="C375" s="28"/>
      <c r="D375" s="32"/>
      <c r="E375" s="33" t="s">
        <v>942</v>
      </c>
      <c r="F375" s="34"/>
      <c r="G375" s="35">
        <v>15.00</v>
      </c>
      <c r="H375" s="35"/>
      <c r="I375" s="35"/>
      <c r="J375" s="37">
        <f ca="1">ROUND(G375,2)</f>
        <v>0</v>
      </c>
      <c r="K375" s="39">
        <f ca="1">SUM(J375:J375)</f>
        <v>0</v>
      </c>
      <c r="L375" s="28"/>
      <c r="M375" s="28"/>
    </row>
    <row r="376" spans="1:13" ht="15.48" thickBot="1" customHeight="1">
      <c r="A376" s="41"/>
      <c r="B376" s="41"/>
      <c r="C376" s="41"/>
      <c r="D376" s="54" t="s">
        <v>943</v>
      </c>
      <c r="E376" s="55"/>
      <c r="F376" s="55"/>
      <c r="G376" s="55"/>
      <c r="H376" s="55"/>
      <c r="I376" s="55"/>
      <c r="J376" s="55"/>
      <c r="K376" s="55"/>
      <c r="L376" s="56">
        <f ca="1">M368+M372</f>
        <v>0</v>
      </c>
      <c r="M376" s="56">
        <f ca="1">ROUND(L376,2)</f>
        <v>0</v>
      </c>
    </row>
    <row r="377" spans="1:13" ht="15.48" thickBot="1" customHeight="1">
      <c r="A377" s="57" t="s">
        <v>944</v>
      </c>
      <c r="B377" s="57" t="s">
        <v>945</v>
      </c>
      <c r="C377" s="58"/>
      <c r="D377" s="59" t="s">
        <v>946</v>
      </c>
      <c r="E377" s="59"/>
      <c r="F377" s="59"/>
      <c r="G377" s="59"/>
      <c r="H377" s="59"/>
      <c r="I377" s="59"/>
      <c r="J377" s="59"/>
      <c r="K377" s="58"/>
      <c r="L377" s="60">
        <f ca="1">L391</f>
        <v>0</v>
      </c>
      <c r="M377" s="60">
        <f ca="1">ROUND(L377,2)</f>
        <v>0</v>
      </c>
    </row>
    <row r="378" spans="1:13" ht="15.48" thickBot="1" customHeight="1">
      <c r="A378" s="15" t="s">
        <v>947</v>
      </c>
      <c r="B378" s="8" t="s">
        <v>948</v>
      </c>
      <c r="C378" s="8" t="s">
        <v>949</v>
      </c>
      <c r="D378" s="26" t="s">
        <v>950</v>
      </c>
      <c r="E378" s="26"/>
      <c r="F378" s="26"/>
      <c r="G378" s="26"/>
      <c r="H378" s="26"/>
      <c r="I378" s="26"/>
      <c r="J378" s="26"/>
      <c r="K378" s="27">
        <f ca="1">SUM(K381:K381)</f>
        <v>0</v>
      </c>
      <c r="L378" s="27">
        <f ca="1">ROUND(110.56*(1+M2/100),2)</f>
        <v>0</v>
      </c>
      <c r="M378" s="27">
        <f ca="1">ROUND(K378*L378,2)</f>
        <v>0</v>
      </c>
    </row>
    <row r="379" spans="1:13" ht="21.36" thickBot="1" customHeight="1">
      <c r="A379" s="28"/>
      <c r="B379" s="28"/>
      <c r="C379" s="28"/>
      <c r="D379" s="26" t="s">
        <v>951</v>
      </c>
      <c r="E379" s="26"/>
      <c r="F379" s="26"/>
      <c r="G379" s="26"/>
      <c r="H379" s="26"/>
      <c r="I379" s="26"/>
      <c r="J379" s="26"/>
      <c r="K379" s="26"/>
      <c r="L379" s="26"/>
      <c r="M379" s="26"/>
    </row>
    <row r="380" spans="1:13" ht="15.12" thickBot="1" customHeight="1">
      <c r="A380" s="28"/>
      <c r="B380" s="28"/>
      <c r="C380" s="28"/>
      <c r="D380" s="28"/>
      <c r="E380" s="29"/>
      <c r="F380" s="31" t="s">
        <v>952</v>
      </c>
      <c r="G380" s="31" t="s">
        <v>953</v>
      </c>
      <c r="H380" s="31" t="s">
        <v>954</v>
      </c>
      <c r="I380" s="31" t="s">
        <v>955</v>
      </c>
      <c r="J380" s="31" t="s">
        <v>956</v>
      </c>
      <c r="K380" s="31" t="s">
        <v>957</v>
      </c>
      <c r="L380" s="28"/>
      <c r="M380" s="28"/>
    </row>
    <row r="381" spans="1:13" ht="15.12" thickBot="1" customHeight="1">
      <c r="A381" s="28"/>
      <c r="B381" s="28"/>
      <c r="C381" s="28"/>
      <c r="D381" s="32"/>
      <c r="E381" s="33" t="s">
        <v>958</v>
      </c>
      <c r="F381" s="34"/>
      <c r="G381" s="35">
        <v>13.00</v>
      </c>
      <c r="H381" s="35"/>
      <c r="I381" s="35"/>
      <c r="J381" s="37">
        <f ca="1">ROUND(G381,2)</f>
        <v>0</v>
      </c>
      <c r="K381" s="39">
        <f ca="1">SUM(J381:J381)</f>
        <v>0</v>
      </c>
      <c r="L381" s="28"/>
      <c r="M381" s="28"/>
    </row>
    <row r="382" spans="1:13" ht="15.48" thickBot="1" customHeight="1">
      <c r="A382" s="15" t="s">
        <v>959</v>
      </c>
      <c r="B382" s="8" t="s">
        <v>960</v>
      </c>
      <c r="C382" s="8" t="s">
        <v>961</v>
      </c>
      <c r="D382" s="26" t="s">
        <v>962</v>
      </c>
      <c r="E382" s="26"/>
      <c r="F382" s="26"/>
      <c r="G382" s="26"/>
      <c r="H382" s="26"/>
      <c r="I382" s="26"/>
      <c r="J382" s="26"/>
      <c r="K382" s="27">
        <f ca="1">SUM(K385:K385)</f>
        <v>0</v>
      </c>
      <c r="L382" s="27">
        <f ca="1">ROUND(15.92*(1+M2/100),2)</f>
        <v>0</v>
      </c>
      <c r="M382" s="27">
        <f ca="1">ROUND(K382*L382,2)</f>
        <v>0</v>
      </c>
    </row>
    <row r="383" spans="1:13" ht="21.36" thickBot="1" customHeight="1">
      <c r="A383" s="28"/>
      <c r="B383" s="28"/>
      <c r="C383" s="28"/>
      <c r="D383" s="26" t="s">
        <v>963</v>
      </c>
      <c r="E383" s="26"/>
      <c r="F383" s="26"/>
      <c r="G383" s="26"/>
      <c r="H383" s="26"/>
      <c r="I383" s="26"/>
      <c r="J383" s="26"/>
      <c r="K383" s="26"/>
      <c r="L383" s="26"/>
      <c r="M383" s="26"/>
    </row>
    <row r="384" spans="1:13" ht="15.12" thickBot="1" customHeight="1">
      <c r="A384" s="28"/>
      <c r="B384" s="28"/>
      <c r="C384" s="28"/>
      <c r="D384" s="28"/>
      <c r="E384" s="29"/>
      <c r="F384" s="31" t="s">
        <v>964</v>
      </c>
      <c r="G384" s="31" t="s">
        <v>965</v>
      </c>
      <c r="H384" s="31" t="s">
        <v>966</v>
      </c>
      <c r="I384" s="31" t="s">
        <v>967</v>
      </c>
      <c r="J384" s="31" t="s">
        <v>968</v>
      </c>
      <c r="K384" s="31" t="s">
        <v>969</v>
      </c>
      <c r="L384" s="28"/>
      <c r="M384" s="28"/>
    </row>
    <row r="385" spans="1:13" ht="30.60" thickBot="1" customHeight="1">
      <c r="A385" s="28"/>
      <c r="B385" s="28"/>
      <c r="C385" s="28"/>
      <c r="D385" s="32"/>
      <c r="E385" s="33" t="s">
        <v>970</v>
      </c>
      <c r="F385" s="34"/>
      <c r="G385" s="35">
        <v>13.00</v>
      </c>
      <c r="H385" s="35"/>
      <c r="I385" s="35"/>
      <c r="J385" s="37">
        <f ca="1">ROUND(G385,2)</f>
        <v>0</v>
      </c>
      <c r="K385" s="39">
        <f ca="1">SUM(J385:J385)</f>
        <v>0</v>
      </c>
      <c r="L385" s="28"/>
      <c r="M385" s="28"/>
    </row>
    <row r="386" spans="1:13" ht="15.48" thickBot="1" customHeight="1">
      <c r="A386" s="15" t="s">
        <v>971</v>
      </c>
      <c r="B386" s="8" t="s">
        <v>972</v>
      </c>
      <c r="C386" s="8" t="s">
        <v>973</v>
      </c>
      <c r="D386" s="26" t="s">
        <v>974</v>
      </c>
      <c r="E386" s="26"/>
      <c r="F386" s="26"/>
      <c r="G386" s="26"/>
      <c r="H386" s="26"/>
      <c r="I386" s="26"/>
      <c r="J386" s="26"/>
      <c r="K386" s="27">
        <f ca="1">SUM(K389:K390)</f>
        <v>0</v>
      </c>
      <c r="L386" s="27">
        <f ca="1">ROUND(85.22*(1+M2/100),2)</f>
        <v>0</v>
      </c>
      <c r="M386" s="27">
        <f ca="1">ROUND(K386*L386,2)</f>
        <v>0</v>
      </c>
    </row>
    <row r="387" spans="1:13" ht="12.12" thickBot="1" customHeight="1">
      <c r="A387" s="28"/>
      <c r="B387" s="28"/>
      <c r="C387" s="28"/>
      <c r="D387" s="26" t="s">
        <v>975</v>
      </c>
      <c r="E387" s="26"/>
      <c r="F387" s="26"/>
      <c r="G387" s="26"/>
      <c r="H387" s="26"/>
      <c r="I387" s="26"/>
      <c r="J387" s="26"/>
      <c r="K387" s="26"/>
      <c r="L387" s="26"/>
      <c r="M387" s="26"/>
    </row>
    <row r="388" spans="1:13" ht="15.12" thickBot="1" customHeight="1">
      <c r="A388" s="28"/>
      <c r="B388" s="28"/>
      <c r="C388" s="28"/>
      <c r="D388" s="28"/>
      <c r="E388" s="29"/>
      <c r="F388" s="31" t="s">
        <v>976</v>
      </c>
      <c r="G388" s="31" t="s">
        <v>977</v>
      </c>
      <c r="H388" s="31" t="s">
        <v>978</v>
      </c>
      <c r="I388" s="31" t="s">
        <v>979</v>
      </c>
      <c r="J388" s="31" t="s">
        <v>980</v>
      </c>
      <c r="K388" s="31" t="s">
        <v>981</v>
      </c>
      <c r="L388" s="28"/>
      <c r="M388" s="28"/>
    </row>
    <row r="389" spans="1:13" ht="30.60" thickBot="1" customHeight="1">
      <c r="A389" s="28"/>
      <c r="B389" s="28"/>
      <c r="C389" s="28"/>
      <c r="D389" s="32"/>
      <c r="E389" s="33" t="s">
        <v>982</v>
      </c>
      <c r="F389" s="34">
        <v>9</v>
      </c>
      <c r="G389" s="35"/>
      <c r="H389" s="35"/>
      <c r="I389" s="35"/>
      <c r="J389" s="37">
        <f ca="1">ROUND(F389,2)</f>
        <v>0</v>
      </c>
      <c r="K389" s="40"/>
      <c r="L389" s="28"/>
      <c r="M389" s="28"/>
    </row>
    <row r="390" spans="1:13" ht="15.12" thickBot="1" customHeight="1">
      <c r="A390" s="28"/>
      <c r="B390" s="28"/>
      <c r="C390" s="28"/>
      <c r="D390" s="32"/>
      <c r="E390" s="8" t="s">
        <v>983</v>
      </c>
      <c r="F390" s="6">
        <v>3</v>
      </c>
      <c r="G390" s="27"/>
      <c r="H390" s="27"/>
      <c r="I390" s="27"/>
      <c r="J390" s="36">
        <f ca="1">ROUND(F390,2)</f>
        <v>0</v>
      </c>
      <c r="K390" s="38">
        <f ca="1">SUM(J389:J390)</f>
        <v>0</v>
      </c>
      <c r="L390" s="28"/>
      <c r="M390" s="28"/>
    </row>
    <row r="391" spans="1:13" ht="15.48" thickBot="1" customHeight="1">
      <c r="A391" s="41"/>
      <c r="B391" s="41"/>
      <c r="C391" s="41"/>
      <c r="D391" s="54" t="s">
        <v>984</v>
      </c>
      <c r="E391" s="55"/>
      <c r="F391" s="55"/>
      <c r="G391" s="55"/>
      <c r="H391" s="55"/>
      <c r="I391" s="55"/>
      <c r="J391" s="55"/>
      <c r="K391" s="55"/>
      <c r="L391" s="56">
        <f ca="1">M378+M382+M386</f>
        <v>0</v>
      </c>
      <c r="M391" s="56">
        <f ca="1">ROUND(L391,2)</f>
        <v>0</v>
      </c>
    </row>
    <row r="392" spans="1:13" ht="15.48" thickBot="1" customHeight="1">
      <c r="A392" s="61"/>
      <c r="B392" s="61"/>
      <c r="C392" s="61"/>
      <c r="D392" s="62" t="s">
        <v>985</v>
      </c>
      <c r="E392" s="63"/>
      <c r="F392" s="63"/>
      <c r="G392" s="63"/>
      <c r="H392" s="63"/>
      <c r="I392" s="63"/>
      <c r="J392" s="63"/>
      <c r="K392" s="63"/>
      <c r="L392" s="64">
        <f ca="1">M263+M309+M366+M376+M391</f>
        <v>0</v>
      </c>
      <c r="M392" s="64">
        <f ca="1">ROUND(L392,2)</f>
        <v>0</v>
      </c>
    </row>
    <row r="393" spans="1:13" ht="15.48" thickBot="1" customHeight="1">
      <c r="A393" s="45" t="s">
        <v>986</v>
      </c>
      <c r="B393" s="45" t="s">
        <v>987</v>
      </c>
      <c r="C393" s="46"/>
      <c r="D393" s="47" t="s">
        <v>988</v>
      </c>
      <c r="E393" s="47"/>
      <c r="F393" s="47"/>
      <c r="G393" s="47"/>
      <c r="H393" s="47"/>
      <c r="I393" s="47"/>
      <c r="J393" s="47"/>
      <c r="K393" s="46"/>
      <c r="L393" s="48">
        <f ca="1">L439</f>
        <v>0</v>
      </c>
      <c r="M393" s="48">
        <f ca="1">ROUND(L393,2)</f>
        <v>0</v>
      </c>
    </row>
    <row r="394" spans="1:13" ht="15.48" thickBot="1" customHeight="1">
      <c r="A394" s="15" t="s">
        <v>989</v>
      </c>
      <c r="B394" s="8" t="s">
        <v>990</v>
      </c>
      <c r="C394" s="8" t="s">
        <v>991</v>
      </c>
      <c r="D394" s="26" t="s">
        <v>992</v>
      </c>
      <c r="E394" s="26"/>
      <c r="F394" s="26"/>
      <c r="G394" s="26"/>
      <c r="H394" s="26"/>
      <c r="I394" s="26"/>
      <c r="J394" s="26"/>
      <c r="K394" s="27">
        <f ca="1">SUM(K397:K413)</f>
        <v>0</v>
      </c>
      <c r="L394" s="27">
        <f ca="1">ROUND(49.58*(1+M2/100),2)</f>
        <v>0</v>
      </c>
      <c r="M394" s="27">
        <f ca="1">ROUND(K394*L394,2)</f>
        <v>0</v>
      </c>
    </row>
    <row r="395" spans="1:13" ht="39.84" thickBot="1" customHeight="1">
      <c r="A395" s="28"/>
      <c r="B395" s="28"/>
      <c r="C395" s="28"/>
      <c r="D395" s="26" t="s">
        <v>993</v>
      </c>
      <c r="E395" s="26"/>
      <c r="F395" s="26"/>
      <c r="G395" s="26"/>
      <c r="H395" s="26"/>
      <c r="I395" s="26"/>
      <c r="J395" s="26"/>
      <c r="K395" s="26"/>
      <c r="L395" s="26"/>
      <c r="M395" s="26"/>
    </row>
    <row r="396" spans="1:13" ht="15.12" thickBot="1" customHeight="1">
      <c r="A396" s="28"/>
      <c r="B396" s="28"/>
      <c r="C396" s="28"/>
      <c r="D396" s="28"/>
      <c r="E396" s="29"/>
      <c r="F396" s="31" t="s">
        <v>994</v>
      </c>
      <c r="G396" s="31" t="s">
        <v>995</v>
      </c>
      <c r="H396" s="31" t="s">
        <v>996</v>
      </c>
      <c r="I396" s="31" t="s">
        <v>997</v>
      </c>
      <c r="J396" s="31" t="s">
        <v>998</v>
      </c>
      <c r="K396" s="31" t="s">
        <v>999</v>
      </c>
      <c r="L396" s="28"/>
      <c r="M396" s="28"/>
    </row>
    <row r="397" spans="1:13" ht="21.36" thickBot="1" customHeight="1">
      <c r="A397" s="28"/>
      <c r="B397" s="28"/>
      <c r="C397" s="28"/>
      <c r="D397" s="32"/>
      <c r="E397" s="33" t="s">
        <v>1000</v>
      </c>
      <c r="F397" s="34"/>
      <c r="G397" s="35"/>
      <c r="H397" s="35"/>
      <c r="I397" s="35"/>
      <c r="J397" s="49" t="s">
        <v>1001</v>
      </c>
      <c r="K397" s="40"/>
      <c r="L397" s="28"/>
      <c r="M397" s="28"/>
    </row>
    <row r="398" spans="1:13" ht="15.12" thickBot="1" customHeight="1">
      <c r="A398" s="28"/>
      <c r="B398" s="28"/>
      <c r="C398" s="28"/>
      <c r="D398" s="32"/>
      <c r="E398" s="8"/>
      <c r="F398" s="6">
        <v>1</v>
      </c>
      <c r="G398" s="27">
        <v>14.65</v>
      </c>
      <c r="H398" s="27"/>
      <c r="I398" s="27"/>
      <c r="J398" s="36">
        <f ca="1">ROUND(F398*G398,2)</f>
        <v>0</v>
      </c>
      <c r="K398" s="28"/>
      <c r="L398" s="28"/>
      <c r="M398" s="28"/>
    </row>
    <row r="399" spans="1:13" ht="15.12" thickBot="1" customHeight="1">
      <c r="A399" s="28"/>
      <c r="B399" s="28"/>
      <c r="C399" s="28"/>
      <c r="D399" s="32"/>
      <c r="E399" s="8"/>
      <c r="F399" s="6">
        <v>1</v>
      </c>
      <c r="G399" s="27">
        <v>2.80</v>
      </c>
      <c r="H399" s="27"/>
      <c r="I399" s="27"/>
      <c r="J399" s="36">
        <f ca="1">ROUND(F399*G399,2)</f>
        <v>0</v>
      </c>
      <c r="K399" s="28"/>
      <c r="L399" s="28"/>
      <c r="M399" s="28"/>
    </row>
    <row r="400" spans="1:13" ht="15.12" thickBot="1" customHeight="1">
      <c r="A400" s="28"/>
      <c r="B400" s="28"/>
      <c r="C400" s="28"/>
      <c r="D400" s="32"/>
      <c r="E400" s="8"/>
      <c r="F400" s="6">
        <v>1</v>
      </c>
      <c r="G400" s="27">
        <v>3.00</v>
      </c>
      <c r="H400" s="27"/>
      <c r="I400" s="27"/>
      <c r="J400" s="36">
        <f ca="1">ROUND(F400*G400,2)</f>
        <v>0</v>
      </c>
      <c r="K400" s="28"/>
      <c r="L400" s="28"/>
      <c r="M400" s="28"/>
    </row>
    <row r="401" spans="1:13" ht="15.12" thickBot="1" customHeight="1">
      <c r="A401" s="28"/>
      <c r="B401" s="28"/>
      <c r="C401" s="28"/>
      <c r="D401" s="32"/>
      <c r="E401" s="8"/>
      <c r="F401" s="6">
        <v>1</v>
      </c>
      <c r="G401" s="27">
        <v>1.90</v>
      </c>
      <c r="H401" s="27"/>
      <c r="I401" s="27"/>
      <c r="J401" s="36">
        <f ca="1">ROUND(F401*G401,2)</f>
        <v>0</v>
      </c>
      <c r="K401" s="28"/>
      <c r="L401" s="28"/>
      <c r="M401" s="28"/>
    </row>
    <row r="402" spans="1:13" ht="15.12" thickBot="1" customHeight="1">
      <c r="A402" s="28"/>
      <c r="B402" s="28"/>
      <c r="C402" s="28"/>
      <c r="D402" s="32"/>
      <c r="E402" s="8"/>
      <c r="F402" s="6">
        <v>4</v>
      </c>
      <c r="G402" s="27">
        <v>0.50</v>
      </c>
      <c r="H402" s="27"/>
      <c r="I402" s="27"/>
      <c r="J402" s="36">
        <f ca="1">ROUND(F402*G402,2)</f>
        <v>0</v>
      </c>
      <c r="K402" s="28"/>
      <c r="L402" s="28"/>
      <c r="M402" s="28"/>
    </row>
    <row r="403" spans="1:13" ht="15.12" thickBot="1" customHeight="1">
      <c r="A403" s="28"/>
      <c r="B403" s="28"/>
      <c r="C403" s="28"/>
      <c r="D403" s="32"/>
      <c r="E403" s="8"/>
      <c r="F403" s="6">
        <v>1</v>
      </c>
      <c r="G403" s="27">
        <v>4.50</v>
      </c>
      <c r="H403" s="27"/>
      <c r="I403" s="27"/>
      <c r="J403" s="36">
        <f ca="1">ROUND(F403*G403,2)</f>
        <v>0</v>
      </c>
      <c r="K403" s="28"/>
      <c r="L403" s="28"/>
      <c r="M403" s="28"/>
    </row>
    <row r="404" spans="1:13" ht="15.12" thickBot="1" customHeight="1">
      <c r="A404" s="28"/>
      <c r="B404" s="28"/>
      <c r="C404" s="28"/>
      <c r="D404" s="32"/>
      <c r="E404" s="8"/>
      <c r="F404" s="6">
        <v>1</v>
      </c>
      <c r="G404" s="27">
        <v>6.25</v>
      </c>
      <c r="H404" s="27"/>
      <c r="I404" s="27"/>
      <c r="J404" s="36">
        <f ca="1">ROUND(F404*G404,2)</f>
        <v>0</v>
      </c>
      <c r="K404" s="28"/>
      <c r="L404" s="28"/>
      <c r="M404" s="28"/>
    </row>
    <row r="405" spans="1:13" ht="15.12" thickBot="1" customHeight="1">
      <c r="A405" s="28"/>
      <c r="B405" s="28"/>
      <c r="C405" s="28"/>
      <c r="D405" s="32"/>
      <c r="E405" s="8"/>
      <c r="F405" s="6">
        <v>1</v>
      </c>
      <c r="G405" s="27">
        <v>1.00</v>
      </c>
      <c r="H405" s="27"/>
      <c r="I405" s="27"/>
      <c r="J405" s="36">
        <f ca="1">ROUND(F405*G405,2)</f>
        <v>0</v>
      </c>
      <c r="K405" s="28"/>
      <c r="L405" s="28"/>
      <c r="M405" s="28"/>
    </row>
    <row r="406" spans="1:13" ht="15.12" thickBot="1" customHeight="1">
      <c r="A406" s="28"/>
      <c r="B406" s="28"/>
      <c r="C406" s="28"/>
      <c r="D406" s="32"/>
      <c r="E406" s="8"/>
      <c r="F406" s="6">
        <v>1</v>
      </c>
      <c r="G406" s="27">
        <v>7.00</v>
      </c>
      <c r="H406" s="27"/>
      <c r="I406" s="27"/>
      <c r="J406" s="36">
        <f ca="1">ROUND(F406*G406,2)</f>
        <v>0</v>
      </c>
      <c r="K406" s="28"/>
      <c r="L406" s="28"/>
      <c r="M406" s="28"/>
    </row>
    <row r="407" spans="1:13" ht="15.12" thickBot="1" customHeight="1">
      <c r="A407" s="28"/>
      <c r="B407" s="28"/>
      <c r="C407" s="28"/>
      <c r="D407" s="32"/>
      <c r="E407" s="8"/>
      <c r="F407" s="6">
        <v>1</v>
      </c>
      <c r="G407" s="27">
        <v>8.95</v>
      </c>
      <c r="H407" s="27"/>
      <c r="I407" s="27"/>
      <c r="J407" s="36">
        <f ca="1">ROUND(F407*G407,2)</f>
        <v>0</v>
      </c>
      <c r="K407" s="28"/>
      <c r="L407" s="28"/>
      <c r="M407" s="28"/>
    </row>
    <row r="408" spans="1:13" ht="15.12" thickBot="1" customHeight="1">
      <c r="A408" s="28"/>
      <c r="B408" s="28"/>
      <c r="C408" s="28"/>
      <c r="D408" s="32"/>
      <c r="E408" s="8"/>
      <c r="F408" s="6">
        <v>1</v>
      </c>
      <c r="G408" s="27">
        <v>8.90</v>
      </c>
      <c r="H408" s="27"/>
      <c r="I408" s="27"/>
      <c r="J408" s="36">
        <f ca="1">ROUND(F408*G408,2)</f>
        <v>0</v>
      </c>
      <c r="K408" s="28"/>
      <c r="L408" s="28"/>
      <c r="M408" s="28"/>
    </row>
    <row r="409" spans="1:13" ht="15.12" thickBot="1" customHeight="1">
      <c r="A409" s="28"/>
      <c r="B409" s="28"/>
      <c r="C409" s="28"/>
      <c r="D409" s="32"/>
      <c r="E409" s="8"/>
      <c r="F409" s="6">
        <v>1</v>
      </c>
      <c r="G409" s="27">
        <v>3.00</v>
      </c>
      <c r="H409" s="27"/>
      <c r="I409" s="27"/>
      <c r="J409" s="36">
        <f ca="1">ROUND(F409*G409,2)</f>
        <v>0</v>
      </c>
      <c r="K409" s="28"/>
      <c r="L409" s="28"/>
      <c r="M409" s="28"/>
    </row>
    <row r="410" spans="1:13" ht="15.12" thickBot="1" customHeight="1">
      <c r="A410" s="28"/>
      <c r="B410" s="28"/>
      <c r="C410" s="28"/>
      <c r="D410" s="32"/>
      <c r="E410" s="8"/>
      <c r="F410" s="6">
        <v>1</v>
      </c>
      <c r="G410" s="27">
        <v>7.00</v>
      </c>
      <c r="H410" s="27"/>
      <c r="I410" s="27"/>
      <c r="J410" s="36">
        <f ca="1">ROUND(F410*G410,2)</f>
        <v>0</v>
      </c>
      <c r="K410" s="28"/>
      <c r="L410" s="28"/>
      <c r="M410" s="28"/>
    </row>
    <row r="411" spans="1:13" ht="15.12" thickBot="1" customHeight="1">
      <c r="A411" s="28"/>
      <c r="B411" s="28"/>
      <c r="C411" s="28"/>
      <c r="D411" s="32"/>
      <c r="E411" s="8"/>
      <c r="F411" s="6">
        <v>1</v>
      </c>
      <c r="G411" s="27">
        <v>4.45</v>
      </c>
      <c r="H411" s="27"/>
      <c r="I411" s="27"/>
      <c r="J411" s="36">
        <f ca="1">ROUND(F411*G411,2)</f>
        <v>0</v>
      </c>
      <c r="K411" s="28"/>
      <c r="L411" s="28"/>
      <c r="M411" s="28"/>
    </row>
    <row r="412" spans="1:13" ht="15.12" thickBot="1" customHeight="1">
      <c r="A412" s="28"/>
      <c r="B412" s="28"/>
      <c r="C412" s="28"/>
      <c r="D412" s="32"/>
      <c r="E412" s="8"/>
      <c r="F412" s="6">
        <v>1</v>
      </c>
      <c r="G412" s="27">
        <v>5.80</v>
      </c>
      <c r="H412" s="27"/>
      <c r="I412" s="27"/>
      <c r="J412" s="36">
        <f ca="1">ROUND(F412*G412,2)</f>
        <v>0</v>
      </c>
      <c r="K412" s="28"/>
      <c r="L412" s="28"/>
      <c r="M412" s="28"/>
    </row>
    <row r="413" spans="1:13" ht="15.12" thickBot="1" customHeight="1">
      <c r="A413" s="28"/>
      <c r="B413" s="28"/>
      <c r="C413" s="28"/>
      <c r="D413" s="32"/>
      <c r="E413" s="8"/>
      <c r="F413" s="6">
        <v>1</v>
      </c>
      <c r="G413" s="27">
        <v>3.00</v>
      </c>
      <c r="H413" s="27"/>
      <c r="I413" s="27"/>
      <c r="J413" s="36">
        <f ca="1">ROUND(F413*G413,2)</f>
        <v>0</v>
      </c>
      <c r="K413" s="38">
        <f ca="1">SUM(J397:J413)</f>
        <v>0</v>
      </c>
      <c r="L413" s="28"/>
      <c r="M413" s="28"/>
    </row>
    <row r="414" spans="1:13" ht="30.60" thickBot="1" customHeight="1">
      <c r="A414" s="15" t="s">
        <v>1002</v>
      </c>
      <c r="B414" s="8" t="s">
        <v>1003</v>
      </c>
      <c r="C414" s="8" t="s">
        <v>1004</v>
      </c>
      <c r="D414" s="26" t="s">
        <v>1005</v>
      </c>
      <c r="E414" s="26"/>
      <c r="F414" s="26"/>
      <c r="G414" s="26"/>
      <c r="H414" s="26"/>
      <c r="I414" s="26"/>
      <c r="J414" s="26"/>
      <c r="K414" s="27">
        <f ca="1">SUM(K417:K418)</f>
        <v>0</v>
      </c>
      <c r="L414" s="27">
        <f ca="1">ROUND(9.28*(1+M2/100),2)</f>
        <v>0</v>
      </c>
      <c r="M414" s="27">
        <f ca="1">ROUND(K414*L414,2)</f>
        <v>0</v>
      </c>
    </row>
    <row r="415" spans="1:13" ht="39.84" thickBot="1" customHeight="1">
      <c r="A415" s="28"/>
      <c r="B415" s="28"/>
      <c r="C415" s="28"/>
      <c r="D415" s="26" t="s">
        <v>1006</v>
      </c>
      <c r="E415" s="26"/>
      <c r="F415" s="26"/>
      <c r="G415" s="26"/>
      <c r="H415" s="26"/>
      <c r="I415" s="26"/>
      <c r="J415" s="26"/>
      <c r="K415" s="26"/>
      <c r="L415" s="26"/>
      <c r="M415" s="26"/>
    </row>
    <row r="416" spans="1:13" ht="15.12" thickBot="1" customHeight="1">
      <c r="A416" s="28"/>
      <c r="B416" s="28"/>
      <c r="C416" s="28"/>
      <c r="D416" s="28"/>
      <c r="E416" s="29"/>
      <c r="F416" s="31" t="s">
        <v>1007</v>
      </c>
      <c r="G416" s="31" t="s">
        <v>1008</v>
      </c>
      <c r="H416" s="31" t="s">
        <v>1009</v>
      </c>
      <c r="I416" s="31" t="s">
        <v>1010</v>
      </c>
      <c r="J416" s="31" t="s">
        <v>1011</v>
      </c>
      <c r="K416" s="31" t="s">
        <v>1012</v>
      </c>
      <c r="L416" s="28"/>
      <c r="M416" s="28"/>
    </row>
    <row r="417" spans="1:13" ht="30.60" thickBot="1" customHeight="1">
      <c r="A417" s="28"/>
      <c r="B417" s="28"/>
      <c r="C417" s="28"/>
      <c r="D417" s="32"/>
      <c r="E417" s="33" t="s">
        <v>1013</v>
      </c>
      <c r="F417" s="34"/>
      <c r="G417" s="35">
        <v>22.00</v>
      </c>
      <c r="H417" s="35">
        <v>7.00</v>
      </c>
      <c r="I417" s="35"/>
      <c r="J417" s="37">
        <f ca="1">ROUND(G417*H417,2)</f>
        <v>0</v>
      </c>
      <c r="K417" s="40"/>
      <c r="L417" s="28"/>
      <c r="M417" s="28"/>
    </row>
    <row r="418" spans="1:13" ht="49.08" thickBot="1" customHeight="1">
      <c r="A418" s="28"/>
      <c r="B418" s="28"/>
      <c r="C418" s="28"/>
      <c r="D418" s="32"/>
      <c r="E418" s="8" t="s">
        <v>1014</v>
      </c>
      <c r="F418" s="6">
        <v>10</v>
      </c>
      <c r="G418" s="27">
        <v>1.50</v>
      </c>
      <c r="H418" s="27">
        <v>1.00</v>
      </c>
      <c r="I418" s="27"/>
      <c r="J418" s="36">
        <f ca="1">ROUND(F418*G418*H418,2)</f>
        <v>0</v>
      </c>
      <c r="K418" s="38">
        <f ca="1">SUM(J417:J418)</f>
        <v>0</v>
      </c>
      <c r="L418" s="28"/>
      <c r="M418" s="28"/>
    </row>
    <row r="419" spans="1:13" ht="15.48" thickBot="1" customHeight="1">
      <c r="A419" s="15" t="s">
        <v>1015</v>
      </c>
      <c r="B419" s="8" t="s">
        <v>1016</v>
      </c>
      <c r="C419" s="8" t="s">
        <v>1017</v>
      </c>
      <c r="D419" s="26" t="s">
        <v>1018</v>
      </c>
      <c r="E419" s="26"/>
      <c r="F419" s="26"/>
      <c r="G419" s="26"/>
      <c r="H419" s="26"/>
      <c r="I419" s="26"/>
      <c r="J419" s="26"/>
      <c r="K419" s="27">
        <f ca="1">SUM(K422:K422)</f>
        <v>0</v>
      </c>
      <c r="L419" s="27">
        <f ca="1">ROUND(156.45*(1+M2/100),2)</f>
        <v>0</v>
      </c>
      <c r="M419" s="27">
        <f ca="1">ROUND(K419*L419,2)</f>
        <v>0</v>
      </c>
    </row>
    <row r="420" spans="1:13" ht="49.08" thickBot="1" customHeight="1">
      <c r="A420" s="28"/>
      <c r="B420" s="28"/>
      <c r="C420" s="28"/>
      <c r="D420" s="26" t="s">
        <v>1019</v>
      </c>
      <c r="E420" s="26"/>
      <c r="F420" s="26"/>
      <c r="G420" s="26"/>
      <c r="H420" s="26"/>
      <c r="I420" s="26"/>
      <c r="J420" s="26"/>
      <c r="K420" s="26"/>
      <c r="L420" s="26"/>
      <c r="M420" s="26"/>
    </row>
    <row r="421" spans="1:13" ht="15.12" thickBot="1" customHeight="1">
      <c r="A421" s="28"/>
      <c r="B421" s="28"/>
      <c r="C421" s="28"/>
      <c r="D421" s="28"/>
      <c r="E421" s="29"/>
      <c r="F421" s="31" t="s">
        <v>1020</v>
      </c>
      <c r="G421" s="31" t="s">
        <v>1021</v>
      </c>
      <c r="H421" s="31" t="s">
        <v>1022</v>
      </c>
      <c r="I421" s="31" t="s">
        <v>1023</v>
      </c>
      <c r="J421" s="31" t="s">
        <v>1024</v>
      </c>
      <c r="K421" s="31" t="s">
        <v>1025</v>
      </c>
      <c r="L421" s="28"/>
      <c r="M421" s="28"/>
    </row>
    <row r="422" spans="1:13" ht="21.36" thickBot="1" customHeight="1">
      <c r="A422" s="28"/>
      <c r="B422" s="28"/>
      <c r="C422" s="28"/>
      <c r="D422" s="32"/>
      <c r="E422" s="33" t="s">
        <v>1026</v>
      </c>
      <c r="F422" s="34">
        <v>5</v>
      </c>
      <c r="G422" s="35"/>
      <c r="H422" s="35"/>
      <c r="I422" s="35"/>
      <c r="J422" s="37">
        <f ca="1">ROUND(F422,2)</f>
        <v>0</v>
      </c>
      <c r="K422" s="39">
        <f ca="1">SUM(J422:J422)</f>
        <v>0</v>
      </c>
      <c r="L422" s="28"/>
      <c r="M422" s="28"/>
    </row>
    <row r="423" spans="1:13" ht="15.48" thickBot="1" customHeight="1">
      <c r="A423" s="15" t="s">
        <v>1027</v>
      </c>
      <c r="B423" s="8" t="s">
        <v>1028</v>
      </c>
      <c r="C423" s="8" t="s">
        <v>1029</v>
      </c>
      <c r="D423" s="26" t="s">
        <v>1030</v>
      </c>
      <c r="E423" s="26"/>
      <c r="F423" s="26"/>
      <c r="G423" s="26"/>
      <c r="H423" s="26"/>
      <c r="I423" s="26"/>
      <c r="J423" s="26"/>
      <c r="K423" s="27">
        <f ca="1">SUM(K426:K426)</f>
        <v>0</v>
      </c>
      <c r="L423" s="27">
        <f ca="1">ROUND(41.12*(1+M2/100),2)</f>
        <v>0</v>
      </c>
      <c r="M423" s="27">
        <f ca="1">ROUND(K423*L423,2)</f>
        <v>0</v>
      </c>
    </row>
    <row r="424" spans="1:13" ht="21.36" thickBot="1" customHeight="1">
      <c r="A424" s="28"/>
      <c r="B424" s="28"/>
      <c r="C424" s="28"/>
      <c r="D424" s="26" t="s">
        <v>1031</v>
      </c>
      <c r="E424" s="26"/>
      <c r="F424" s="26"/>
      <c r="G424" s="26"/>
      <c r="H424" s="26"/>
      <c r="I424" s="26"/>
      <c r="J424" s="26"/>
      <c r="K424" s="26"/>
      <c r="L424" s="26"/>
      <c r="M424" s="26"/>
    </row>
    <row r="425" spans="1:13" ht="15.12" thickBot="1" customHeight="1">
      <c r="A425" s="28"/>
      <c r="B425" s="28"/>
      <c r="C425" s="28"/>
      <c r="D425" s="28"/>
      <c r="E425" s="29"/>
      <c r="F425" s="31" t="s">
        <v>1032</v>
      </c>
      <c r="G425" s="31" t="s">
        <v>1033</v>
      </c>
      <c r="H425" s="31" t="s">
        <v>1034</v>
      </c>
      <c r="I425" s="31" t="s">
        <v>1035</v>
      </c>
      <c r="J425" s="31" t="s">
        <v>1036</v>
      </c>
      <c r="K425" s="31" t="s">
        <v>1037</v>
      </c>
      <c r="L425" s="28"/>
      <c r="M425" s="28"/>
    </row>
    <row r="426" spans="1:13" ht="39.84" thickBot="1" customHeight="1">
      <c r="A426" s="28"/>
      <c r="B426" s="28"/>
      <c r="C426" s="28"/>
      <c r="D426" s="32"/>
      <c r="E426" s="33" t="s">
        <v>1038</v>
      </c>
      <c r="F426" s="34">
        <v>8</v>
      </c>
      <c r="G426" s="35">
        <v>0.30</v>
      </c>
      <c r="H426" s="35">
        <v>0.30</v>
      </c>
      <c r="I426" s="35"/>
      <c r="J426" s="37">
        <f ca="1">ROUND(F426*G426*H426,2)</f>
        <v>0</v>
      </c>
      <c r="K426" s="39">
        <f ca="1">SUM(J426:J426)</f>
        <v>0</v>
      </c>
      <c r="L426" s="28"/>
      <c r="M426" s="28"/>
    </row>
    <row r="427" spans="1:13" ht="15.48" thickBot="1" customHeight="1">
      <c r="A427" s="15" t="s">
        <v>1039</v>
      </c>
      <c r="B427" s="8" t="s">
        <v>1040</v>
      </c>
      <c r="C427" s="8" t="s">
        <v>1041</v>
      </c>
      <c r="D427" s="26" t="s">
        <v>1042</v>
      </c>
      <c r="E427" s="26"/>
      <c r="F427" s="26"/>
      <c r="G427" s="26"/>
      <c r="H427" s="26"/>
      <c r="I427" s="26"/>
      <c r="J427" s="26"/>
      <c r="K427" s="27">
        <f ca="1">SUM(K430:K430)</f>
        <v>0</v>
      </c>
      <c r="L427" s="27">
        <f ca="1">ROUND(532.17*(1+M2/100),2)</f>
        <v>0</v>
      </c>
      <c r="M427" s="27">
        <f ca="1">ROUND(K427*L427,2)</f>
        <v>0</v>
      </c>
    </row>
    <row r="428" spans="1:13" ht="30.60" thickBot="1" customHeight="1">
      <c r="A428" s="28"/>
      <c r="B428" s="28"/>
      <c r="C428" s="28"/>
      <c r="D428" s="26" t="s">
        <v>1043</v>
      </c>
      <c r="E428" s="26"/>
      <c r="F428" s="26"/>
      <c r="G428" s="26"/>
      <c r="H428" s="26"/>
      <c r="I428" s="26"/>
      <c r="J428" s="26"/>
      <c r="K428" s="26"/>
      <c r="L428" s="26"/>
      <c r="M428" s="26"/>
    </row>
    <row r="429" spans="1:13" ht="15.12" thickBot="1" customHeight="1">
      <c r="A429" s="28"/>
      <c r="B429" s="28"/>
      <c r="C429" s="28"/>
      <c r="D429" s="28"/>
      <c r="E429" s="29"/>
      <c r="F429" s="31" t="s">
        <v>1044</v>
      </c>
      <c r="G429" s="31" t="s">
        <v>1045</v>
      </c>
      <c r="H429" s="31" t="s">
        <v>1046</v>
      </c>
      <c r="I429" s="31" t="s">
        <v>1047</v>
      </c>
      <c r="J429" s="31" t="s">
        <v>1048</v>
      </c>
      <c r="K429" s="31" t="s">
        <v>1049</v>
      </c>
      <c r="L429" s="28"/>
      <c r="M429" s="28"/>
    </row>
    <row r="430" spans="1:13" ht="15.12" thickBot="1" customHeight="1">
      <c r="A430" s="28"/>
      <c r="B430" s="28"/>
      <c r="C430" s="28"/>
      <c r="D430" s="32"/>
      <c r="E430" s="33" t="s">
        <v>1050</v>
      </c>
      <c r="F430" s="34">
        <v>1</v>
      </c>
      <c r="G430" s="35"/>
      <c r="H430" s="35"/>
      <c r="I430" s="35"/>
      <c r="J430" s="37">
        <f ca="1">ROUND(F430,2)</f>
        <v>0</v>
      </c>
      <c r="K430" s="39">
        <f ca="1">SUM(J430:J430)</f>
        <v>0</v>
      </c>
      <c r="L430" s="28"/>
      <c r="M430" s="28"/>
    </row>
    <row r="431" spans="1:13" ht="15.48" thickBot="1" customHeight="1">
      <c r="A431" s="15" t="s">
        <v>1051</v>
      </c>
      <c r="B431" s="8" t="s">
        <v>1052</v>
      </c>
      <c r="C431" s="8" t="s">
        <v>1053</v>
      </c>
      <c r="D431" s="26" t="s">
        <v>1054</v>
      </c>
      <c r="E431" s="26"/>
      <c r="F431" s="26"/>
      <c r="G431" s="26"/>
      <c r="H431" s="26"/>
      <c r="I431" s="26"/>
      <c r="J431" s="26"/>
      <c r="K431" s="27">
        <f ca="1">SUM(K434:K434)</f>
        <v>0</v>
      </c>
      <c r="L431" s="27">
        <f ca="1">ROUND(318.67*(1+M2/100),2)</f>
        <v>0</v>
      </c>
      <c r="M431" s="27">
        <f ca="1">ROUND(K431*L431,2)</f>
        <v>0</v>
      </c>
    </row>
    <row r="432" spans="1:13" ht="39.84" thickBot="1" customHeight="1">
      <c r="A432" s="28"/>
      <c r="B432" s="28"/>
      <c r="C432" s="28"/>
      <c r="D432" s="26" t="s">
        <v>1055</v>
      </c>
      <c r="E432" s="26"/>
      <c r="F432" s="26"/>
      <c r="G432" s="26"/>
      <c r="H432" s="26"/>
      <c r="I432" s="26"/>
      <c r="J432" s="26"/>
      <c r="K432" s="26"/>
      <c r="L432" s="26"/>
      <c r="M432" s="26"/>
    </row>
    <row r="433" spans="1:13" ht="15.12" thickBot="1" customHeight="1">
      <c r="A433" s="28"/>
      <c r="B433" s="28"/>
      <c r="C433" s="28"/>
      <c r="D433" s="28"/>
      <c r="E433" s="29"/>
      <c r="F433" s="31" t="s">
        <v>1056</v>
      </c>
      <c r="G433" s="31" t="s">
        <v>1057</v>
      </c>
      <c r="H433" s="31" t="s">
        <v>1058</v>
      </c>
      <c r="I433" s="31" t="s">
        <v>1059</v>
      </c>
      <c r="J433" s="31" t="s">
        <v>1060</v>
      </c>
      <c r="K433" s="31" t="s">
        <v>1061</v>
      </c>
      <c r="L433" s="28"/>
      <c r="M433" s="28"/>
    </row>
    <row r="434" spans="1:13" ht="15.12" thickBot="1" customHeight="1">
      <c r="A434" s="28"/>
      <c r="B434" s="28"/>
      <c r="C434" s="28"/>
      <c r="D434" s="32"/>
      <c r="E434" s="33" t="s">
        <v>1062</v>
      </c>
      <c r="F434" s="34">
        <v>4</v>
      </c>
      <c r="G434" s="35"/>
      <c r="H434" s="35"/>
      <c r="I434" s="35"/>
      <c r="J434" s="37">
        <f ca="1">ROUND(F434,2)</f>
        <v>0</v>
      </c>
      <c r="K434" s="39">
        <f ca="1">SUM(J434:J434)</f>
        <v>0</v>
      </c>
      <c r="L434" s="28"/>
      <c r="M434" s="28"/>
    </row>
    <row r="435" spans="1:13" ht="15.48" thickBot="1" customHeight="1">
      <c r="A435" s="15" t="s">
        <v>1063</v>
      </c>
      <c r="B435" s="8" t="s">
        <v>1064</v>
      </c>
      <c r="C435" s="8" t="s">
        <v>1065</v>
      </c>
      <c r="D435" s="26" t="s">
        <v>1066</v>
      </c>
      <c r="E435" s="26"/>
      <c r="F435" s="26"/>
      <c r="G435" s="26"/>
      <c r="H435" s="26"/>
      <c r="I435" s="26"/>
      <c r="J435" s="26"/>
      <c r="K435" s="27">
        <f ca="1">SUM(K438:K438)</f>
        <v>0</v>
      </c>
      <c r="L435" s="27">
        <f ca="1">ROUND(145.77*(1+M2/100),2)</f>
        <v>0</v>
      </c>
      <c r="M435" s="27">
        <f ca="1">ROUND(K435*L435,2)</f>
        <v>0</v>
      </c>
    </row>
    <row r="436" spans="1:13" ht="49.08" thickBot="1" customHeight="1">
      <c r="A436" s="28"/>
      <c r="B436" s="28"/>
      <c r="C436" s="28"/>
      <c r="D436" s="26" t="s">
        <v>1067</v>
      </c>
      <c r="E436" s="26"/>
      <c r="F436" s="26"/>
      <c r="G436" s="26"/>
      <c r="H436" s="26"/>
      <c r="I436" s="26"/>
      <c r="J436" s="26"/>
      <c r="K436" s="26"/>
      <c r="L436" s="26"/>
      <c r="M436" s="26"/>
    </row>
    <row r="437" spans="1:13" ht="15.12" thickBot="1" customHeight="1">
      <c r="A437" s="28"/>
      <c r="B437" s="28"/>
      <c r="C437" s="28"/>
      <c r="D437" s="28"/>
      <c r="E437" s="29"/>
      <c r="F437" s="31" t="s">
        <v>1068</v>
      </c>
      <c r="G437" s="31" t="s">
        <v>1069</v>
      </c>
      <c r="H437" s="31" t="s">
        <v>1070</v>
      </c>
      <c r="I437" s="31" t="s">
        <v>1071</v>
      </c>
      <c r="J437" s="31" t="s">
        <v>1072</v>
      </c>
      <c r="K437" s="31" t="s">
        <v>1073</v>
      </c>
      <c r="L437" s="28"/>
      <c r="M437" s="28"/>
    </row>
    <row r="438" spans="1:13" ht="21.36" thickBot="1" customHeight="1">
      <c r="A438" s="28"/>
      <c r="B438" s="28"/>
      <c r="C438" s="28"/>
      <c r="D438" s="32"/>
      <c r="E438" s="33" t="s">
        <v>1074</v>
      </c>
      <c r="F438" s="34">
        <v>8</v>
      </c>
      <c r="G438" s="35"/>
      <c r="H438" s="35"/>
      <c r="I438" s="35"/>
      <c r="J438" s="37">
        <f ca="1">ROUND(F438,2)</f>
        <v>0</v>
      </c>
      <c r="K438" s="39">
        <f ca="1">SUM(J438:J438)</f>
        <v>0</v>
      </c>
      <c r="L438" s="28"/>
      <c r="M438" s="28"/>
    </row>
    <row r="439" spans="1:13" ht="15.48" thickBot="1" customHeight="1">
      <c r="A439" s="41"/>
      <c r="B439" s="41"/>
      <c r="C439" s="41"/>
      <c r="D439" s="42" t="s">
        <v>1075</v>
      </c>
      <c r="E439" s="43"/>
      <c r="F439" s="43"/>
      <c r="G439" s="43"/>
      <c r="H439" s="43"/>
      <c r="I439" s="43"/>
      <c r="J439" s="43"/>
      <c r="K439" s="43"/>
      <c r="L439" s="44">
        <f ca="1">M394+M414+M419+M423+M427+M431+M435</f>
        <v>0</v>
      </c>
      <c r="M439" s="44">
        <f ca="1">ROUND(L439,2)</f>
        <v>0</v>
      </c>
    </row>
    <row r="440" spans="1:13" ht="15.48" thickBot="1" customHeight="1">
      <c r="A440" s="45" t="s">
        <v>1076</v>
      </c>
      <c r="B440" s="45" t="s">
        <v>1077</v>
      </c>
      <c r="C440" s="46"/>
      <c r="D440" s="47" t="s">
        <v>1078</v>
      </c>
      <c r="E440" s="47"/>
      <c r="F440" s="47"/>
      <c r="G440" s="47"/>
      <c r="H440" s="47"/>
      <c r="I440" s="47"/>
      <c r="J440" s="47"/>
      <c r="K440" s="46"/>
      <c r="L440" s="48">
        <f ca="1">L459</f>
        <v>0</v>
      </c>
      <c r="M440" s="48">
        <f ca="1">ROUND(L440,2)</f>
        <v>0</v>
      </c>
    </row>
    <row r="441" spans="1:13" ht="15.48" thickBot="1" customHeight="1">
      <c r="A441" s="15" t="s">
        <v>1079</v>
      </c>
      <c r="B441" s="8" t="s">
        <v>1080</v>
      </c>
      <c r="C441" s="8" t="s">
        <v>1081</v>
      </c>
      <c r="D441" s="26" t="s">
        <v>1082</v>
      </c>
      <c r="E441" s="26"/>
      <c r="F441" s="26"/>
      <c r="G441" s="26"/>
      <c r="H441" s="26"/>
      <c r="I441" s="26"/>
      <c r="J441" s="26"/>
      <c r="K441" s="27">
        <f ca="1">SUM(K444:K446)</f>
        <v>0</v>
      </c>
      <c r="L441" s="27">
        <f ca="1">ROUND(75.94*(1+M2/100),2)</f>
        <v>0</v>
      </c>
      <c r="M441" s="27">
        <f ca="1">ROUND(K441*L441,2)</f>
        <v>0</v>
      </c>
    </row>
    <row r="442" spans="1:13" ht="21.36" thickBot="1" customHeight="1">
      <c r="A442" s="28"/>
      <c r="B442" s="28"/>
      <c r="C442" s="28"/>
      <c r="D442" s="26" t="s">
        <v>1083</v>
      </c>
      <c r="E442" s="26"/>
      <c r="F442" s="26"/>
      <c r="G442" s="26"/>
      <c r="H442" s="26"/>
      <c r="I442" s="26"/>
      <c r="J442" s="26"/>
      <c r="K442" s="26"/>
      <c r="L442" s="26"/>
      <c r="M442" s="26"/>
    </row>
    <row r="443" spans="1:13" ht="15.12" thickBot="1" customHeight="1">
      <c r="A443" s="28"/>
      <c r="B443" s="28"/>
      <c r="C443" s="28"/>
      <c r="D443" s="28"/>
      <c r="E443" s="29"/>
      <c r="F443" s="31" t="s">
        <v>1084</v>
      </c>
      <c r="G443" s="31" t="s">
        <v>1085</v>
      </c>
      <c r="H443" s="31" t="s">
        <v>1086</v>
      </c>
      <c r="I443" s="31" t="s">
        <v>1087</v>
      </c>
      <c r="J443" s="31" t="s">
        <v>1088</v>
      </c>
      <c r="K443" s="31" t="s">
        <v>1089</v>
      </c>
      <c r="L443" s="28"/>
      <c r="M443" s="28"/>
    </row>
    <row r="444" spans="1:13" ht="15.12" thickBot="1" customHeight="1">
      <c r="A444" s="28"/>
      <c r="B444" s="28"/>
      <c r="C444" s="28"/>
      <c r="D444" s="32"/>
      <c r="E444" s="33" t="s">
        <v>1090</v>
      </c>
      <c r="F444" s="34">
        <v>1</v>
      </c>
      <c r="G444" s="35">
        <v>3.20</v>
      </c>
      <c r="H444" s="35">
        <v>0.60</v>
      </c>
      <c r="I444" s="35">
        <v>0.50</v>
      </c>
      <c r="J444" s="37">
        <f ca="1">ROUND(F444*G444*H444*I444,2)</f>
        <v>0</v>
      </c>
      <c r="K444" s="40"/>
      <c r="L444" s="28"/>
      <c r="M444" s="28"/>
    </row>
    <row r="445" spans="1:13" ht="15.12" thickBot="1" customHeight="1">
      <c r="A445" s="28"/>
      <c r="B445" s="28"/>
      <c r="C445" s="28"/>
      <c r="D445" s="32"/>
      <c r="E445" s="8"/>
      <c r="F445" s="6">
        <v>1</v>
      </c>
      <c r="G445" s="27">
        <v>2.70</v>
      </c>
      <c r="H445" s="27">
        <v>0.60</v>
      </c>
      <c r="I445" s="27">
        <v>0.50</v>
      </c>
      <c r="J445" s="36">
        <f ca="1">ROUND(F445*G445*H445*I445,2)</f>
        <v>0</v>
      </c>
      <c r="K445" s="28"/>
      <c r="L445" s="28"/>
      <c r="M445" s="28"/>
    </row>
    <row r="446" spans="1:13" ht="15.12" thickBot="1" customHeight="1">
      <c r="A446" s="28"/>
      <c r="B446" s="28"/>
      <c r="C446" s="28"/>
      <c r="D446" s="32"/>
      <c r="E446" s="8"/>
      <c r="F446" s="6">
        <v>1</v>
      </c>
      <c r="G446" s="27">
        <v>3.00</v>
      </c>
      <c r="H446" s="27">
        <v>2.00</v>
      </c>
      <c r="I446" s="27">
        <v>0.50</v>
      </c>
      <c r="J446" s="36">
        <f ca="1">ROUND(F446*G446*H446*I446,2)</f>
        <v>0</v>
      </c>
      <c r="K446" s="38">
        <f ca="1">SUM(J444:J446)</f>
        <v>0</v>
      </c>
      <c r="L446" s="28"/>
      <c r="M446" s="28"/>
    </row>
    <row r="447" spans="1:13" ht="15.48" thickBot="1" customHeight="1">
      <c r="A447" s="15" t="s">
        <v>1091</v>
      </c>
      <c r="B447" s="8" t="s">
        <v>1092</v>
      </c>
      <c r="C447" s="8" t="s">
        <v>1093</v>
      </c>
      <c r="D447" s="26" t="s">
        <v>1094</v>
      </c>
      <c r="E447" s="26"/>
      <c r="F447" s="26"/>
      <c r="G447" s="26"/>
      <c r="H447" s="26"/>
      <c r="I447" s="26"/>
      <c r="J447" s="26"/>
      <c r="K447" s="27">
        <f ca="1">SUM(K450:K450)</f>
        <v>0</v>
      </c>
      <c r="L447" s="27">
        <f ca="1">ROUND(1.22*(1+M2/100),2)</f>
        <v>0</v>
      </c>
      <c r="M447" s="27">
        <f ca="1">ROUND(K447*L447,2)</f>
        <v>0</v>
      </c>
    </row>
    <row r="448" spans="1:13" ht="12.12" thickBot="1" customHeight="1">
      <c r="A448" s="28"/>
      <c r="B448" s="28"/>
      <c r="C448" s="28"/>
      <c r="D448" s="26" t="s">
        <v>1095</v>
      </c>
      <c r="E448" s="26"/>
      <c r="F448" s="26"/>
      <c r="G448" s="26"/>
      <c r="H448" s="26"/>
      <c r="I448" s="26"/>
      <c r="J448" s="26"/>
      <c r="K448" s="26"/>
      <c r="L448" s="26"/>
      <c r="M448" s="26"/>
    </row>
    <row r="449" spans="1:13" ht="15.12" thickBot="1" customHeight="1">
      <c r="A449" s="28"/>
      <c r="B449" s="28"/>
      <c r="C449" s="28"/>
      <c r="D449" s="28"/>
      <c r="E449" s="29"/>
      <c r="F449" s="31" t="s">
        <v>1096</v>
      </c>
      <c r="G449" s="31" t="s">
        <v>1097</v>
      </c>
      <c r="H449" s="31" t="s">
        <v>1098</v>
      </c>
      <c r="I449" s="31" t="s">
        <v>1099</v>
      </c>
      <c r="J449" s="31" t="s">
        <v>1100</v>
      </c>
      <c r="K449" s="31" t="s">
        <v>1101</v>
      </c>
      <c r="L449" s="28"/>
      <c r="M449" s="28"/>
    </row>
    <row r="450" spans="1:13" ht="15.12" thickBot="1" customHeight="1">
      <c r="A450" s="28"/>
      <c r="B450" s="28"/>
      <c r="C450" s="28"/>
      <c r="D450" s="32"/>
      <c r="E450" s="33"/>
      <c r="F450" s="34">
        <v>45</v>
      </c>
      <c r="G450" s="35">
        <v>1.00</v>
      </c>
      <c r="H450" s="35"/>
      <c r="I450" s="35"/>
      <c r="J450" s="37">
        <f ca="1">ROUND(F450*G450,2)</f>
        <v>0</v>
      </c>
      <c r="K450" s="39">
        <f ca="1">SUM(J450:J450)</f>
        <v>0</v>
      </c>
      <c r="L450" s="28"/>
      <c r="M450" s="28"/>
    </row>
    <row r="451" spans="1:13" ht="15.48" thickBot="1" customHeight="1">
      <c r="A451" s="15" t="s">
        <v>1102</v>
      </c>
      <c r="B451" s="8" t="s">
        <v>1103</v>
      </c>
      <c r="C451" s="8" t="s">
        <v>1104</v>
      </c>
      <c r="D451" s="26" t="s">
        <v>1105</v>
      </c>
      <c r="E451" s="26"/>
      <c r="F451" s="26"/>
      <c r="G451" s="26"/>
      <c r="H451" s="26"/>
      <c r="I451" s="26"/>
      <c r="J451" s="26"/>
      <c r="K451" s="27">
        <f ca="1">SUM(K454:K454)</f>
        <v>0</v>
      </c>
      <c r="L451" s="27">
        <f ca="1">ROUND(3.45*(1+M2/100),2)</f>
        <v>0</v>
      </c>
      <c r="M451" s="27">
        <f ca="1">ROUND(K451*L451,2)</f>
        <v>0</v>
      </c>
    </row>
    <row r="452" spans="1:13" ht="12.12" thickBot="1" customHeight="1">
      <c r="A452" s="28"/>
      <c r="B452" s="28"/>
      <c r="C452" s="28"/>
      <c r="D452" s="26" t="s">
        <v>1106</v>
      </c>
      <c r="E452" s="26"/>
      <c r="F452" s="26"/>
      <c r="G452" s="26"/>
      <c r="H452" s="26"/>
      <c r="I452" s="26"/>
      <c r="J452" s="26"/>
      <c r="K452" s="26"/>
      <c r="L452" s="26"/>
      <c r="M452" s="26"/>
    </row>
    <row r="453" spans="1:13" ht="15.12" thickBot="1" customHeight="1">
      <c r="A453" s="28"/>
      <c r="B453" s="28"/>
      <c r="C453" s="28"/>
      <c r="D453" s="28"/>
      <c r="E453" s="29"/>
      <c r="F453" s="31" t="s">
        <v>1107</v>
      </c>
      <c r="G453" s="31" t="s">
        <v>1108</v>
      </c>
      <c r="H453" s="31" t="s">
        <v>1109</v>
      </c>
      <c r="I453" s="31" t="s">
        <v>1110</v>
      </c>
      <c r="J453" s="31" t="s">
        <v>1111</v>
      </c>
      <c r="K453" s="31" t="s">
        <v>1112</v>
      </c>
      <c r="L453" s="28"/>
      <c r="M453" s="28"/>
    </row>
    <row r="454" spans="1:13" ht="15.12" thickBot="1" customHeight="1">
      <c r="A454" s="28"/>
      <c r="B454" s="28"/>
      <c r="C454" s="28"/>
      <c r="D454" s="32"/>
      <c r="E454" s="33"/>
      <c r="F454" s="34">
        <v>45</v>
      </c>
      <c r="G454" s="35">
        <v>1.00</v>
      </c>
      <c r="H454" s="35"/>
      <c r="I454" s="35"/>
      <c r="J454" s="37">
        <f ca="1">ROUND(F454*G454,2)</f>
        <v>0</v>
      </c>
      <c r="K454" s="39">
        <f ca="1">SUM(J454:J454)</f>
        <v>0</v>
      </c>
      <c r="L454" s="28"/>
      <c r="M454" s="28"/>
    </row>
    <row r="455" spans="1:13" ht="15.48" thickBot="1" customHeight="1">
      <c r="A455" s="15" t="s">
        <v>1113</v>
      </c>
      <c r="B455" s="8" t="s">
        <v>1114</v>
      </c>
      <c r="C455" s="8" t="s">
        <v>1115</v>
      </c>
      <c r="D455" s="26" t="s">
        <v>1116</v>
      </c>
      <c r="E455" s="26"/>
      <c r="F455" s="26"/>
      <c r="G455" s="26"/>
      <c r="H455" s="26"/>
      <c r="I455" s="26"/>
      <c r="J455" s="26"/>
      <c r="K455" s="27">
        <f ca="1">SUM(K458:K458)</f>
        <v>0</v>
      </c>
      <c r="L455" s="27">
        <f ca="1">ROUND(115.70*(1+M2/100),2)</f>
        <v>0</v>
      </c>
      <c r="M455" s="27">
        <f ca="1">ROUND(K455*L455,2)</f>
        <v>0</v>
      </c>
    </row>
    <row r="456" spans="1:13" ht="30.60" thickBot="1" customHeight="1">
      <c r="A456" s="28"/>
      <c r="B456" s="28"/>
      <c r="C456" s="28"/>
      <c r="D456" s="26" t="s">
        <v>1117</v>
      </c>
      <c r="E456" s="26"/>
      <c r="F456" s="26"/>
      <c r="G456" s="26"/>
      <c r="H456" s="26"/>
      <c r="I456" s="26"/>
      <c r="J456" s="26"/>
      <c r="K456" s="26"/>
      <c r="L456" s="26"/>
      <c r="M456" s="26"/>
    </row>
    <row r="457" spans="1:13" ht="15.12" thickBot="1" customHeight="1">
      <c r="A457" s="28"/>
      <c r="B457" s="28"/>
      <c r="C457" s="28"/>
      <c r="D457" s="28"/>
      <c r="E457" s="29"/>
      <c r="F457" s="31" t="s">
        <v>1118</v>
      </c>
      <c r="G457" s="31" t="s">
        <v>1119</v>
      </c>
      <c r="H457" s="31" t="s">
        <v>1120</v>
      </c>
      <c r="I457" s="31" t="s">
        <v>1121</v>
      </c>
      <c r="J457" s="31" t="s">
        <v>1122</v>
      </c>
      <c r="K457" s="31" t="s">
        <v>1123</v>
      </c>
      <c r="L457" s="28"/>
      <c r="M457" s="28"/>
    </row>
    <row r="458" spans="1:13" ht="21.36" thickBot="1" customHeight="1">
      <c r="A458" s="28"/>
      <c r="B458" s="28"/>
      <c r="C458" s="28"/>
      <c r="D458" s="32"/>
      <c r="E458" s="33" t="s">
        <v>1124</v>
      </c>
      <c r="F458" s="34">
        <v>4</v>
      </c>
      <c r="G458" s="35"/>
      <c r="H458" s="35"/>
      <c r="I458" s="35"/>
      <c r="J458" s="37">
        <f ca="1">ROUND(F458,2)</f>
        <v>0</v>
      </c>
      <c r="K458" s="39">
        <f ca="1">SUM(J458:J458)</f>
        <v>0</v>
      </c>
      <c r="L458" s="28"/>
      <c r="M458" s="28"/>
    </row>
    <row r="459" spans="1:13" ht="15.48" thickBot="1" customHeight="1">
      <c r="A459" s="41"/>
      <c r="B459" s="41"/>
      <c r="C459" s="41"/>
      <c r="D459" s="42" t="s">
        <v>1125</v>
      </c>
      <c r="E459" s="43"/>
      <c r="F459" s="43"/>
      <c r="G459" s="43"/>
      <c r="H459" s="43"/>
      <c r="I459" s="43"/>
      <c r="J459" s="43"/>
      <c r="K459" s="43"/>
      <c r="L459" s="44">
        <f ca="1">M441+M447+M451+M455</f>
        <v>0</v>
      </c>
      <c r="M459" s="44">
        <f ca="1">ROUND(L459,2)</f>
        <v>0</v>
      </c>
    </row>
    <row r="460" spans="1:13" ht="15.48" thickBot="1" customHeight="1">
      <c r="A460" s="45" t="s">
        <v>1126</v>
      </c>
      <c r="B460" s="45" t="s">
        <v>1127</v>
      </c>
      <c r="C460" s="46"/>
      <c r="D460" s="47" t="s">
        <v>1128</v>
      </c>
      <c r="E460" s="47"/>
      <c r="F460" s="47"/>
      <c r="G460" s="47"/>
      <c r="H460" s="47"/>
      <c r="I460" s="47"/>
      <c r="J460" s="47"/>
      <c r="K460" s="46"/>
      <c r="L460" s="48">
        <f ca="1">L485</f>
        <v>0</v>
      </c>
      <c r="M460" s="48">
        <f ca="1">ROUND(L460,2)</f>
        <v>0</v>
      </c>
    </row>
    <row r="461" spans="1:13" ht="15.48" thickBot="1" customHeight="1">
      <c r="A461" s="15" t="s">
        <v>1129</v>
      </c>
      <c r="B461" s="8" t="s">
        <v>1130</v>
      </c>
      <c r="C461" s="8" t="s">
        <v>1131</v>
      </c>
      <c r="D461" s="26" t="s">
        <v>1132</v>
      </c>
      <c r="E461" s="26"/>
      <c r="F461" s="26"/>
      <c r="G461" s="26"/>
      <c r="H461" s="26"/>
      <c r="I461" s="26"/>
      <c r="J461" s="26"/>
      <c r="K461" s="27">
        <f ca="1">SUM(K464:K464)</f>
        <v>0</v>
      </c>
      <c r="L461" s="27">
        <f ca="1">ROUND(2.75*(1+M2/100),2)</f>
        <v>0</v>
      </c>
      <c r="M461" s="27">
        <f ca="1">ROUND(K461*L461,2)</f>
        <v>0</v>
      </c>
    </row>
    <row r="462" spans="1:13" ht="21.36" thickBot="1" customHeight="1">
      <c r="A462" s="28"/>
      <c r="B462" s="28"/>
      <c r="C462" s="28"/>
      <c r="D462" s="26" t="s">
        <v>1133</v>
      </c>
      <c r="E462" s="26"/>
      <c r="F462" s="26"/>
      <c r="G462" s="26"/>
      <c r="H462" s="26"/>
      <c r="I462" s="26"/>
      <c r="J462" s="26"/>
      <c r="K462" s="26"/>
      <c r="L462" s="26"/>
      <c r="M462" s="26"/>
    </row>
    <row r="463" spans="1:13" ht="15.12" thickBot="1" customHeight="1">
      <c r="A463" s="28"/>
      <c r="B463" s="28"/>
      <c r="C463" s="28"/>
      <c r="D463" s="28"/>
      <c r="E463" s="29"/>
      <c r="F463" s="31" t="s">
        <v>1134</v>
      </c>
      <c r="G463" s="31" t="s">
        <v>1135</v>
      </c>
      <c r="H463" s="31" t="s">
        <v>1136</v>
      </c>
      <c r="I463" s="31" t="s">
        <v>1137</v>
      </c>
      <c r="J463" s="31" t="s">
        <v>1138</v>
      </c>
      <c r="K463" s="31" t="s">
        <v>1139</v>
      </c>
      <c r="L463" s="28"/>
      <c r="M463" s="28"/>
    </row>
    <row r="464" spans="1:13" ht="15.12" thickBot="1" customHeight="1">
      <c r="A464" s="28"/>
      <c r="B464" s="28"/>
      <c r="C464" s="28"/>
      <c r="D464" s="32"/>
      <c r="E464" s="33" t="s">
        <v>1140</v>
      </c>
      <c r="F464" s="34"/>
      <c r="G464" s="35">
        <v>30.00</v>
      </c>
      <c r="H464" s="35"/>
      <c r="I464" s="35"/>
      <c r="J464" s="37">
        <f ca="1">ROUND(G464,2)</f>
        <v>0</v>
      </c>
      <c r="K464" s="39">
        <f ca="1">SUM(J464:J464)</f>
        <v>0</v>
      </c>
      <c r="L464" s="28"/>
      <c r="M464" s="28"/>
    </row>
    <row r="465" spans="1:13" ht="15.48" thickBot="1" customHeight="1">
      <c r="A465" s="15" t="s">
        <v>1141</v>
      </c>
      <c r="B465" s="8" t="s">
        <v>1142</v>
      </c>
      <c r="C465" s="8" t="s">
        <v>1143</v>
      </c>
      <c r="D465" s="26" t="s">
        <v>1144</v>
      </c>
      <c r="E465" s="26"/>
      <c r="F465" s="26"/>
      <c r="G465" s="26"/>
      <c r="H465" s="26"/>
      <c r="I465" s="26"/>
      <c r="J465" s="26"/>
      <c r="K465" s="27">
        <f ca="1">SUM(K468:K468)</f>
        <v>0</v>
      </c>
      <c r="L465" s="27">
        <f ca="1">ROUND(8.83*(1+M2/100),2)</f>
        <v>0</v>
      </c>
      <c r="M465" s="27">
        <f ca="1">ROUND(K465*L465,2)</f>
        <v>0</v>
      </c>
    </row>
    <row r="466" spans="1:13" ht="21.36" thickBot="1" customHeight="1">
      <c r="A466" s="28"/>
      <c r="B466" s="28"/>
      <c r="C466" s="28"/>
      <c r="D466" s="26" t="s">
        <v>1145</v>
      </c>
      <c r="E466" s="26"/>
      <c r="F466" s="26"/>
      <c r="G466" s="26"/>
      <c r="H466" s="26"/>
      <c r="I466" s="26"/>
      <c r="J466" s="26"/>
      <c r="K466" s="26"/>
      <c r="L466" s="26"/>
      <c r="M466" s="26"/>
    </row>
    <row r="467" spans="1:13" ht="15.12" thickBot="1" customHeight="1">
      <c r="A467" s="28"/>
      <c r="B467" s="28"/>
      <c r="C467" s="28"/>
      <c r="D467" s="28"/>
      <c r="E467" s="29"/>
      <c r="F467" s="31" t="s">
        <v>1146</v>
      </c>
      <c r="G467" s="31" t="s">
        <v>1147</v>
      </c>
      <c r="H467" s="31" t="s">
        <v>1148</v>
      </c>
      <c r="I467" s="31" t="s">
        <v>1149</v>
      </c>
      <c r="J467" s="31" t="s">
        <v>1150</v>
      </c>
      <c r="K467" s="31" t="s">
        <v>1151</v>
      </c>
      <c r="L467" s="28"/>
      <c r="M467" s="28"/>
    </row>
    <row r="468" spans="1:13" ht="21.36" thickBot="1" customHeight="1">
      <c r="A468" s="28"/>
      <c r="B468" s="28"/>
      <c r="C468" s="28"/>
      <c r="D468" s="32"/>
      <c r="E468" s="33" t="s">
        <v>1152</v>
      </c>
      <c r="F468" s="34">
        <v>20</v>
      </c>
      <c r="G468" s="35">
        <v>4.00</v>
      </c>
      <c r="H468" s="35">
        <v>0.40</v>
      </c>
      <c r="I468" s="35"/>
      <c r="J468" s="37">
        <f ca="1">ROUND(F468*G468*H468,2)</f>
        <v>0</v>
      </c>
      <c r="K468" s="39">
        <f ca="1">SUM(J468:J468)</f>
        <v>0</v>
      </c>
      <c r="L468" s="28"/>
      <c r="M468" s="28"/>
    </row>
    <row r="469" spans="1:13" ht="15.48" thickBot="1" customHeight="1">
      <c r="A469" s="15" t="s">
        <v>1153</v>
      </c>
      <c r="B469" s="8" t="s">
        <v>1154</v>
      </c>
      <c r="C469" s="8" t="s">
        <v>1155</v>
      </c>
      <c r="D469" s="26" t="s">
        <v>1156</v>
      </c>
      <c r="E469" s="26"/>
      <c r="F469" s="26"/>
      <c r="G469" s="26"/>
      <c r="H469" s="26"/>
      <c r="I469" s="26"/>
      <c r="J469" s="26"/>
      <c r="K469" s="27">
        <f ca="1">SUM(K472:K472)</f>
        <v>0</v>
      </c>
      <c r="L469" s="27">
        <f ca="1">ROUND(24.43*(1+M2/100),2)</f>
        <v>0</v>
      </c>
      <c r="M469" s="27">
        <f ca="1">ROUND(K469*L469,2)</f>
        <v>0</v>
      </c>
    </row>
    <row r="470" spans="1:13" ht="21.36" thickBot="1" customHeight="1">
      <c r="A470" s="28"/>
      <c r="B470" s="28"/>
      <c r="C470" s="28"/>
      <c r="D470" s="26" t="s">
        <v>1157</v>
      </c>
      <c r="E470" s="26"/>
      <c r="F470" s="26"/>
      <c r="G470" s="26"/>
      <c r="H470" s="26"/>
      <c r="I470" s="26"/>
      <c r="J470" s="26"/>
      <c r="K470" s="26"/>
      <c r="L470" s="26"/>
      <c r="M470" s="26"/>
    </row>
    <row r="471" spans="1:13" ht="15.12" thickBot="1" customHeight="1">
      <c r="A471" s="28"/>
      <c r="B471" s="28"/>
      <c r="C471" s="28"/>
      <c r="D471" s="28"/>
      <c r="E471" s="29"/>
      <c r="F471" s="31" t="s">
        <v>1158</v>
      </c>
      <c r="G471" s="31" t="s">
        <v>1159</v>
      </c>
      <c r="H471" s="31" t="s">
        <v>1160</v>
      </c>
      <c r="I471" s="31" t="s">
        <v>1161</v>
      </c>
      <c r="J471" s="31" t="s">
        <v>1162</v>
      </c>
      <c r="K471" s="31" t="s">
        <v>1163</v>
      </c>
      <c r="L471" s="28"/>
      <c r="M471" s="28"/>
    </row>
    <row r="472" spans="1:13" ht="21.36" thickBot="1" customHeight="1">
      <c r="A472" s="28"/>
      <c r="B472" s="28"/>
      <c r="C472" s="28"/>
      <c r="D472" s="32"/>
      <c r="E472" s="33" t="s">
        <v>1164</v>
      </c>
      <c r="F472" s="34"/>
      <c r="G472" s="35">
        <v>5.00</v>
      </c>
      <c r="H472" s="35">
        <v>3.00</v>
      </c>
      <c r="I472" s="35"/>
      <c r="J472" s="37">
        <f ca="1">ROUND(G472*H472,2)</f>
        <v>0</v>
      </c>
      <c r="K472" s="39">
        <f ca="1">SUM(J472:J472)</f>
        <v>0</v>
      </c>
      <c r="L472" s="28"/>
      <c r="M472" s="28"/>
    </row>
    <row r="473" spans="1:13" ht="15.48" thickBot="1" customHeight="1">
      <c r="A473" s="15" t="s">
        <v>1165</v>
      </c>
      <c r="B473" s="8" t="s">
        <v>1166</v>
      </c>
      <c r="C473" s="8" t="s">
        <v>1167</v>
      </c>
      <c r="D473" s="26" t="s">
        <v>1168</v>
      </c>
      <c r="E473" s="26"/>
      <c r="F473" s="26"/>
      <c r="G473" s="26"/>
      <c r="H473" s="26"/>
      <c r="I473" s="26"/>
      <c r="J473" s="26"/>
      <c r="K473" s="27">
        <f ca="1">SUM(K476:K476)</f>
        <v>0</v>
      </c>
      <c r="L473" s="27">
        <f ca="1">ROUND(70.28*(1+M2/100),2)</f>
        <v>0</v>
      </c>
      <c r="M473" s="27">
        <f ca="1">ROUND(K473*L473,2)</f>
        <v>0</v>
      </c>
    </row>
    <row r="474" spans="1:13" ht="21.36" thickBot="1" customHeight="1">
      <c r="A474" s="28"/>
      <c r="B474" s="28"/>
      <c r="C474" s="28"/>
      <c r="D474" s="26" t="s">
        <v>1169</v>
      </c>
      <c r="E474" s="26"/>
      <c r="F474" s="26"/>
      <c r="G474" s="26"/>
      <c r="H474" s="26"/>
      <c r="I474" s="26"/>
      <c r="J474" s="26"/>
      <c r="K474" s="26"/>
      <c r="L474" s="26"/>
      <c r="M474" s="26"/>
    </row>
    <row r="475" spans="1:13" ht="15.12" thickBot="1" customHeight="1">
      <c r="A475" s="28"/>
      <c r="B475" s="28"/>
      <c r="C475" s="28"/>
      <c r="D475" s="28"/>
      <c r="E475" s="29"/>
      <c r="F475" s="31" t="s">
        <v>1170</v>
      </c>
      <c r="G475" s="31" t="s">
        <v>1171</v>
      </c>
      <c r="H475" s="31" t="s">
        <v>1172</v>
      </c>
      <c r="I475" s="31" t="s">
        <v>1173</v>
      </c>
      <c r="J475" s="31" t="s">
        <v>1174</v>
      </c>
      <c r="K475" s="31" t="s">
        <v>1175</v>
      </c>
      <c r="L475" s="28"/>
      <c r="M475" s="28"/>
    </row>
    <row r="476" spans="1:13" ht="15.12" thickBot="1" customHeight="1">
      <c r="A476" s="28"/>
      <c r="B476" s="28"/>
      <c r="C476" s="28"/>
      <c r="D476" s="32"/>
      <c r="E476" s="33" t="s">
        <v>1176</v>
      </c>
      <c r="F476" s="34">
        <v>4</v>
      </c>
      <c r="G476" s="35"/>
      <c r="H476" s="35"/>
      <c r="I476" s="35"/>
      <c r="J476" s="37">
        <f ca="1">ROUND(F476,2)</f>
        <v>0</v>
      </c>
      <c r="K476" s="39">
        <f ca="1">SUM(J476:J476)</f>
        <v>0</v>
      </c>
      <c r="L476" s="28"/>
      <c r="M476" s="28"/>
    </row>
    <row r="477" spans="1:13" ht="15.48" thickBot="1" customHeight="1">
      <c r="A477" s="15" t="s">
        <v>1177</v>
      </c>
      <c r="B477" s="8" t="s">
        <v>1178</v>
      </c>
      <c r="C477" s="8" t="s">
        <v>1179</v>
      </c>
      <c r="D477" s="26" t="s">
        <v>1180</v>
      </c>
      <c r="E477" s="26"/>
      <c r="F477" s="26"/>
      <c r="G477" s="26"/>
      <c r="H477" s="26"/>
      <c r="I477" s="26"/>
      <c r="J477" s="26"/>
      <c r="K477" s="27">
        <f ca="1">SUM(K480:K480)</f>
        <v>0</v>
      </c>
      <c r="L477" s="27">
        <f ca="1">ROUND(60.70*(1+M2/100),2)</f>
        <v>0</v>
      </c>
      <c r="M477" s="27">
        <f ca="1">ROUND(K477*L477,2)</f>
        <v>0</v>
      </c>
    </row>
    <row r="478" spans="1:13" ht="12.12" thickBot="1" customHeight="1">
      <c r="A478" s="28"/>
      <c r="B478" s="28"/>
      <c r="C478" s="28"/>
      <c r="D478" s="26" t="s">
        <v>1181</v>
      </c>
      <c r="E478" s="26"/>
      <c r="F478" s="26"/>
      <c r="G478" s="26"/>
      <c r="H478" s="26"/>
      <c r="I478" s="26"/>
      <c r="J478" s="26"/>
      <c r="K478" s="26"/>
      <c r="L478" s="26"/>
      <c r="M478" s="26"/>
    </row>
    <row r="479" spans="1:13" ht="15.12" thickBot="1" customHeight="1">
      <c r="A479" s="28"/>
      <c r="B479" s="28"/>
      <c r="C479" s="28"/>
      <c r="D479" s="28"/>
      <c r="E479" s="29"/>
      <c r="F479" s="31" t="s">
        <v>1182</v>
      </c>
      <c r="G479" s="31" t="s">
        <v>1183</v>
      </c>
      <c r="H479" s="31" t="s">
        <v>1184</v>
      </c>
      <c r="I479" s="31" t="s">
        <v>1185</v>
      </c>
      <c r="J479" s="31" t="s">
        <v>1186</v>
      </c>
      <c r="K479" s="31" t="s">
        <v>1187</v>
      </c>
      <c r="L479" s="28"/>
      <c r="M479" s="28"/>
    </row>
    <row r="480" spans="1:13" ht="15.12" thickBot="1" customHeight="1">
      <c r="A480" s="28"/>
      <c r="B480" s="28"/>
      <c r="C480" s="28"/>
      <c r="D480" s="32"/>
      <c r="E480" s="33" t="s">
        <v>1188</v>
      </c>
      <c r="F480" s="34">
        <v>4</v>
      </c>
      <c r="G480" s="35"/>
      <c r="H480" s="35"/>
      <c r="I480" s="35"/>
      <c r="J480" s="37">
        <f ca="1">ROUND(F480,2)</f>
        <v>0</v>
      </c>
      <c r="K480" s="39">
        <f ca="1">SUM(J480:J480)</f>
        <v>0</v>
      </c>
      <c r="L480" s="28"/>
      <c r="M480" s="28"/>
    </row>
    <row r="481" spans="1:13" ht="15.48" thickBot="1" customHeight="1">
      <c r="A481" s="15" t="s">
        <v>1189</v>
      </c>
      <c r="B481" s="8" t="s">
        <v>1190</v>
      </c>
      <c r="C481" s="8" t="s">
        <v>1191</v>
      </c>
      <c r="D481" s="26" t="s">
        <v>1192</v>
      </c>
      <c r="E481" s="26"/>
      <c r="F481" s="26"/>
      <c r="G481" s="26"/>
      <c r="H481" s="26"/>
      <c r="I481" s="26"/>
      <c r="J481" s="26"/>
      <c r="K481" s="27">
        <f ca="1">SUM(K484:K484)</f>
        <v>0</v>
      </c>
      <c r="L481" s="27">
        <f ca="1">ROUND(8.52*(1+M2/100),2)</f>
        <v>0</v>
      </c>
      <c r="M481" s="27">
        <f ca="1">ROUND(K481*L481,2)</f>
        <v>0</v>
      </c>
    </row>
    <row r="482" spans="1:13" ht="21.36" thickBot="1" customHeight="1">
      <c r="A482" s="28"/>
      <c r="B482" s="28"/>
      <c r="C482" s="28"/>
      <c r="D482" s="26" t="s">
        <v>1193</v>
      </c>
      <c r="E482" s="26"/>
      <c r="F482" s="26"/>
      <c r="G482" s="26"/>
      <c r="H482" s="26"/>
      <c r="I482" s="26"/>
      <c r="J482" s="26"/>
      <c r="K482" s="26"/>
      <c r="L482" s="26"/>
      <c r="M482" s="26"/>
    </row>
    <row r="483" spans="1:13" ht="15.12" thickBot="1" customHeight="1">
      <c r="A483" s="28"/>
      <c r="B483" s="28"/>
      <c r="C483" s="28"/>
      <c r="D483" s="28"/>
      <c r="E483" s="29"/>
      <c r="F483" s="31" t="s">
        <v>1194</v>
      </c>
      <c r="G483" s="31" t="s">
        <v>1195</v>
      </c>
      <c r="H483" s="31" t="s">
        <v>1196</v>
      </c>
      <c r="I483" s="31" t="s">
        <v>1197</v>
      </c>
      <c r="J483" s="31" t="s">
        <v>1198</v>
      </c>
      <c r="K483" s="31" t="s">
        <v>1199</v>
      </c>
      <c r="L483" s="28"/>
      <c r="M483" s="28"/>
    </row>
    <row r="484" spans="1:13" ht="15.12" thickBot="1" customHeight="1">
      <c r="A484" s="28"/>
      <c r="B484" s="28"/>
      <c r="C484" s="28"/>
      <c r="D484" s="32"/>
      <c r="E484" s="33" t="s">
        <v>1200</v>
      </c>
      <c r="F484" s="34"/>
      <c r="G484" s="35">
        <v>10.00</v>
      </c>
      <c r="H484" s="35">
        <v>1.00</v>
      </c>
      <c r="I484" s="35"/>
      <c r="J484" s="37">
        <f ca="1">ROUND(G484*H484,2)</f>
        <v>0</v>
      </c>
      <c r="K484" s="39">
        <f ca="1">SUM(J484:J484)</f>
        <v>0</v>
      </c>
      <c r="L484" s="28"/>
      <c r="M484" s="28"/>
    </row>
    <row r="485" spans="1:13" ht="15.48" thickBot="1" customHeight="1">
      <c r="A485" s="41"/>
      <c r="B485" s="41"/>
      <c r="C485" s="41"/>
      <c r="D485" s="42" t="s">
        <v>1201</v>
      </c>
      <c r="E485" s="43"/>
      <c r="F485" s="43"/>
      <c r="G485" s="43"/>
      <c r="H485" s="43"/>
      <c r="I485" s="43"/>
      <c r="J485" s="43"/>
      <c r="K485" s="43"/>
      <c r="L485" s="44">
        <f ca="1">M461+M465+M469+M473+M477+M481</f>
        <v>0</v>
      </c>
      <c r="M485" s="44">
        <f ca="1">ROUND(L485,2)</f>
        <v>0</v>
      </c>
    </row>
    <row r="486" spans="1:13" ht="15.48" thickBot="1" customHeight="1">
      <c r="A486" s="45" t="s">
        <v>1202</v>
      </c>
      <c r="B486" s="45" t="s">
        <v>1203</v>
      </c>
      <c r="C486" s="46"/>
      <c r="D486" s="47" t="s">
        <v>1204</v>
      </c>
      <c r="E486" s="47"/>
      <c r="F486" s="47"/>
      <c r="G486" s="47"/>
      <c r="H486" s="47"/>
      <c r="I486" s="47"/>
      <c r="J486" s="47"/>
      <c r="K486" s="46"/>
      <c r="L486" s="48">
        <f ca="1">L491</f>
        <v>0</v>
      </c>
      <c r="M486" s="48">
        <f ca="1">ROUND(L486,2)</f>
        <v>0</v>
      </c>
    </row>
    <row r="487" spans="1:13" ht="15.48" thickBot="1" customHeight="1">
      <c r="A487" s="15" t="s">
        <v>1205</v>
      </c>
      <c r="B487" s="8" t="s">
        <v>1206</v>
      </c>
      <c r="C487" s="8" t="s">
        <v>1207</v>
      </c>
      <c r="D487" s="26" t="s">
        <v>1208</v>
      </c>
      <c r="E487" s="26"/>
      <c r="F487" s="26"/>
      <c r="G487" s="26"/>
      <c r="H487" s="26"/>
      <c r="I487" s="26"/>
      <c r="J487" s="26"/>
      <c r="K487" s="27">
        <f ca="1">SUM(K490:K490)</f>
        <v>0</v>
      </c>
      <c r="L487" s="27">
        <f ca="1">ROUND(2955.07*(1+M2/100),2)</f>
        <v>0</v>
      </c>
      <c r="M487" s="27">
        <f ca="1">ROUND(K487*L487,2)</f>
        <v>0</v>
      </c>
    </row>
    <row r="488" spans="1:13" ht="21.36" thickBot="1" customHeight="1">
      <c r="A488" s="28"/>
      <c r="B488" s="28"/>
      <c r="C488" s="28"/>
      <c r="D488" s="26" t="s">
        <v>1209</v>
      </c>
      <c r="E488" s="26"/>
      <c r="F488" s="26"/>
      <c r="G488" s="26"/>
      <c r="H488" s="26"/>
      <c r="I488" s="26"/>
      <c r="J488" s="26"/>
      <c r="K488" s="26"/>
      <c r="L488" s="26"/>
      <c r="M488" s="26"/>
    </row>
    <row r="489" spans="1:13" ht="15.12" thickBot="1" customHeight="1">
      <c r="A489" s="28"/>
      <c r="B489" s="28"/>
      <c r="C489" s="28"/>
      <c r="D489" s="28"/>
      <c r="E489" s="29"/>
      <c r="F489" s="31" t="s">
        <v>1210</v>
      </c>
      <c r="G489" s="31" t="s">
        <v>1211</v>
      </c>
      <c r="H489" s="31" t="s">
        <v>1212</v>
      </c>
      <c r="I489" s="31" t="s">
        <v>1213</v>
      </c>
      <c r="J489" s="31" t="s">
        <v>1214</v>
      </c>
      <c r="K489" s="31" t="s">
        <v>1215</v>
      </c>
      <c r="L489" s="28"/>
      <c r="M489" s="28"/>
    </row>
    <row r="490" spans="1:13" ht="15.12" thickBot="1" customHeight="1">
      <c r="A490" s="28"/>
      <c r="B490" s="28"/>
      <c r="C490" s="28"/>
      <c r="D490" s="32"/>
      <c r="E490" s="33"/>
      <c r="F490" s="34">
        <v>1</v>
      </c>
      <c r="G490" s="35"/>
      <c r="H490" s="35"/>
      <c r="I490" s="35"/>
      <c r="J490" s="37">
        <f ca="1">ROUND(F490,2)</f>
        <v>0</v>
      </c>
      <c r="K490" s="39">
        <f ca="1">SUM(J490:J490)</f>
        <v>0</v>
      </c>
      <c r="L490" s="28"/>
      <c r="M490" s="28"/>
    </row>
    <row r="491" spans="1:13" ht="15.48" thickBot="1" customHeight="1">
      <c r="A491" s="41"/>
      <c r="B491" s="41"/>
      <c r="C491" s="41"/>
      <c r="D491" s="42" t="s">
        <v>1216</v>
      </c>
      <c r="E491" s="43"/>
      <c r="F491" s="43"/>
      <c r="G491" s="43"/>
      <c r="H491" s="43"/>
      <c r="I491" s="43"/>
      <c r="J491" s="43"/>
      <c r="K491" s="43"/>
      <c r="L491" s="44">
        <f ca="1">M487</f>
        <v>0</v>
      </c>
      <c r="M491" s="44">
        <f ca="1">ROUND(L491,2)</f>
        <v>0</v>
      </c>
    </row>
    <row r="492" spans="1:13" ht="15.48" thickBot="1" customHeight="1">
      <c r="A492" s="45" t="s">
        <v>1217</v>
      </c>
      <c r="B492" s="45" t="s">
        <v>1218</v>
      </c>
      <c r="C492" s="46"/>
      <c r="D492" s="47" t="s">
        <v>1219</v>
      </c>
      <c r="E492" s="47"/>
      <c r="F492" s="47"/>
      <c r="G492" s="47"/>
      <c r="H492" s="47"/>
      <c r="I492" s="47"/>
      <c r="J492" s="47"/>
      <c r="K492" s="46"/>
      <c r="L492" s="48">
        <f ca="1">L497</f>
        <v>0</v>
      </c>
      <c r="M492" s="48">
        <f ca="1">ROUND(L492,2)</f>
        <v>0</v>
      </c>
    </row>
    <row r="493" spans="1:13" ht="15.48" thickBot="1" customHeight="1">
      <c r="A493" s="15" t="s">
        <v>1220</v>
      </c>
      <c r="B493" s="8" t="s">
        <v>1221</v>
      </c>
      <c r="C493" s="8" t="s">
        <v>1222</v>
      </c>
      <c r="D493" s="26" t="s">
        <v>1223</v>
      </c>
      <c r="E493" s="26"/>
      <c r="F493" s="26"/>
      <c r="G493" s="26"/>
      <c r="H493" s="26"/>
      <c r="I493" s="26"/>
      <c r="J493" s="26"/>
      <c r="K493" s="27">
        <f ca="1">SUM(K496:K496)</f>
        <v>0</v>
      </c>
      <c r="L493" s="27">
        <f ca="1">ROUND(4285.83*(1+M2/100),2)</f>
        <v>0</v>
      </c>
      <c r="M493" s="27">
        <f ca="1">ROUND(K493*L493,2)</f>
        <v>0</v>
      </c>
    </row>
    <row r="494" spans="1:13" ht="12.12" thickBot="1" customHeight="1">
      <c r="A494" s="28"/>
      <c r="B494" s="28"/>
      <c r="C494" s="28"/>
      <c r="D494" s="26" t="s">
        <v>1224</v>
      </c>
      <c r="E494" s="26"/>
      <c r="F494" s="26"/>
      <c r="G494" s="26"/>
      <c r="H494" s="26"/>
      <c r="I494" s="26"/>
      <c r="J494" s="26"/>
      <c r="K494" s="26"/>
      <c r="L494" s="26"/>
      <c r="M494" s="26"/>
    </row>
    <row r="495" spans="1:13" ht="15.12" thickBot="1" customHeight="1">
      <c r="A495" s="28"/>
      <c r="B495" s="28"/>
      <c r="C495" s="28"/>
      <c r="D495" s="28"/>
      <c r="E495" s="29"/>
      <c r="F495" s="31" t="s">
        <v>1225</v>
      </c>
      <c r="G495" s="31" t="s">
        <v>1226</v>
      </c>
      <c r="H495" s="31" t="s">
        <v>1227</v>
      </c>
      <c r="I495" s="31" t="s">
        <v>1228</v>
      </c>
      <c r="J495" s="31" t="s">
        <v>1229</v>
      </c>
      <c r="K495" s="31" t="s">
        <v>1230</v>
      </c>
      <c r="L495" s="28"/>
      <c r="M495" s="28"/>
    </row>
    <row r="496" spans="1:13" ht="15.12" thickBot="1" customHeight="1">
      <c r="A496" s="28"/>
      <c r="B496" s="28"/>
      <c r="C496" s="28"/>
      <c r="D496" s="32"/>
      <c r="E496" s="33"/>
      <c r="F496" s="34">
        <v>1</v>
      </c>
      <c r="G496" s="35"/>
      <c r="H496" s="35"/>
      <c r="I496" s="35"/>
      <c r="J496" s="37">
        <f ca="1">ROUND(F496,2)</f>
        <v>0</v>
      </c>
      <c r="K496" s="39">
        <f ca="1">SUM(J496:J496)</f>
        <v>0</v>
      </c>
      <c r="L496" s="28"/>
      <c r="M496" s="28"/>
    </row>
    <row r="497" spans="1:13" ht="15.48" thickBot="1" customHeight="1">
      <c r="A497" s="41"/>
      <c r="B497" s="41"/>
      <c r="C497" s="41"/>
      <c r="D497" s="42" t="s">
        <v>1231</v>
      </c>
      <c r="E497" s="43"/>
      <c r="F497" s="43"/>
      <c r="G497" s="43"/>
      <c r="H497" s="43"/>
      <c r="I497" s="43"/>
      <c r="J497" s="43"/>
      <c r="K497" s="43"/>
      <c r="L497" s="44">
        <f ca="1">M493</f>
        <v>0</v>
      </c>
      <c r="M497" s="44">
        <f ca="1">ROUND(L497,2)</f>
        <v>0</v>
      </c>
    </row>
    <row r="498" spans="1:13" ht="15.48" thickBot="1" customHeight="1">
      <c r="A498" s="61"/>
      <c r="B498" s="61"/>
      <c r="C498" s="61"/>
      <c r="D498" s="65" t="s">
        <v>1232</v>
      </c>
      <c r="E498" s="66"/>
      <c r="F498" s="66"/>
      <c r="G498" s="66"/>
      <c r="H498" s="66"/>
      <c r="I498" s="66"/>
      <c r="J498" s="66"/>
      <c r="K498" s="66"/>
      <c r="L498" s="67">
        <f ca="1">M32+M57+M84+M109+M160+M392+M439+M459+M485+M491+M497</f>
        <v>0</v>
      </c>
      <c r="M498" s="67">
        <f ca="1">ROUND(L498,2)</f>
        <v>0</v>
      </c>
    </row>
  </sheetData>
  <mergeCells count="203">
    <mergeCell ref="B1:M1"/>
    <mergeCell ref="A2:C2"/>
    <mergeCell ref="D4:J4"/>
    <mergeCell ref="D5:J5"/>
    <mergeCell ref="D6:J6"/>
    <mergeCell ref="D7:M7"/>
    <mergeCell ref="D10:J10"/>
    <mergeCell ref="D11:M11"/>
    <mergeCell ref="D14:J14"/>
    <mergeCell ref="D15:M15"/>
    <mergeCell ref="D19:J19"/>
    <mergeCell ref="D20:M20"/>
    <mergeCell ref="D24:J24"/>
    <mergeCell ref="D25:M25"/>
    <mergeCell ref="D28:J28"/>
    <mergeCell ref="D29:M29"/>
    <mergeCell ref="D33:J33"/>
    <mergeCell ref="D34:J34"/>
    <mergeCell ref="D35:M35"/>
    <mergeCell ref="D39:J39"/>
    <mergeCell ref="D40:M40"/>
    <mergeCell ref="D43:J43"/>
    <mergeCell ref="D44:M44"/>
    <mergeCell ref="D48:J48"/>
    <mergeCell ref="D49:M49"/>
    <mergeCell ref="D53:J53"/>
    <mergeCell ref="D54:M54"/>
    <mergeCell ref="D58:J58"/>
    <mergeCell ref="D59:J59"/>
    <mergeCell ref="D60:M60"/>
    <mergeCell ref="D63:J63"/>
    <mergeCell ref="D64:M64"/>
    <mergeCell ref="D68:J68"/>
    <mergeCell ref="D69:M69"/>
    <mergeCell ref="D74:J74"/>
    <mergeCell ref="D75:M75"/>
    <mergeCell ref="D80:J80"/>
    <mergeCell ref="D81:M81"/>
    <mergeCell ref="D85:J85"/>
    <mergeCell ref="D86:J86"/>
    <mergeCell ref="D87:M87"/>
    <mergeCell ref="D91:J91"/>
    <mergeCell ref="D92:M92"/>
    <mergeCell ref="D95:J95"/>
    <mergeCell ref="D96:M96"/>
    <mergeCell ref="D99:J99"/>
    <mergeCell ref="D100:M100"/>
    <mergeCell ref="D103:J103"/>
    <mergeCell ref="D104:M104"/>
    <mergeCell ref="D110:J110"/>
    <mergeCell ref="D111:J111"/>
    <mergeCell ref="D112:M112"/>
    <mergeCell ref="D135:J135"/>
    <mergeCell ref="D136:M136"/>
    <mergeCell ref="D144:J144"/>
    <mergeCell ref="D145:M145"/>
    <mergeCell ref="D150:J150"/>
    <mergeCell ref="D151:M151"/>
    <mergeCell ref="D155:J155"/>
    <mergeCell ref="D156:M156"/>
    <mergeCell ref="D161:J161"/>
    <mergeCell ref="D162:J162"/>
    <mergeCell ref="D163:J163"/>
    <mergeCell ref="D164:M164"/>
    <mergeCell ref="D168:J168"/>
    <mergeCell ref="D169:M169"/>
    <mergeCell ref="D173:J173"/>
    <mergeCell ref="D174:M174"/>
    <mergeCell ref="D177:J177"/>
    <mergeCell ref="D178:M178"/>
    <mergeCell ref="D181:J181"/>
    <mergeCell ref="D182:M182"/>
    <mergeCell ref="D185:J185"/>
    <mergeCell ref="D186:M186"/>
    <mergeCell ref="D189:J189"/>
    <mergeCell ref="D190:M190"/>
    <mergeCell ref="D193:J193"/>
    <mergeCell ref="D194:M194"/>
    <mergeCell ref="D197:J197"/>
    <mergeCell ref="D198:M198"/>
    <mergeCell ref="D201:J201"/>
    <mergeCell ref="D202:M202"/>
    <mergeCell ref="D205:J205"/>
    <mergeCell ref="D206:M206"/>
    <mergeCell ref="D209:J209"/>
    <mergeCell ref="D210:M210"/>
    <mergeCell ref="D213:J213"/>
    <mergeCell ref="D214:M214"/>
    <mergeCell ref="D217:J217"/>
    <mergeCell ref="D218:M218"/>
    <mergeCell ref="D222:J222"/>
    <mergeCell ref="D223:M223"/>
    <mergeCell ref="D226:J226"/>
    <mergeCell ref="D227:M227"/>
    <mergeCell ref="D230:J230"/>
    <mergeCell ref="D231:M231"/>
    <mergeCell ref="D234:J234"/>
    <mergeCell ref="D235:M235"/>
    <mergeCell ref="D238:J238"/>
    <mergeCell ref="D239:M239"/>
    <mergeCell ref="D243:J243"/>
    <mergeCell ref="D244:M244"/>
    <mergeCell ref="D247:J247"/>
    <mergeCell ref="D248:M248"/>
    <mergeCell ref="D251:J251"/>
    <mergeCell ref="D252:M252"/>
    <mergeCell ref="D255:J255"/>
    <mergeCell ref="D256:M256"/>
    <mergeCell ref="D259:J259"/>
    <mergeCell ref="D260:M260"/>
    <mergeCell ref="D264:J264"/>
    <mergeCell ref="D265:J265"/>
    <mergeCell ref="D266:M266"/>
    <mergeCell ref="D270:J270"/>
    <mergeCell ref="D271:M271"/>
    <mergeCell ref="D276:J276"/>
    <mergeCell ref="D277:M277"/>
    <mergeCell ref="D281:J281"/>
    <mergeCell ref="D282:M282"/>
    <mergeCell ref="D285:J285"/>
    <mergeCell ref="D286:M286"/>
    <mergeCell ref="D289:J289"/>
    <mergeCell ref="D290:M290"/>
    <mergeCell ref="D293:J293"/>
    <mergeCell ref="D294:M294"/>
    <mergeCell ref="D297:J297"/>
    <mergeCell ref="D298:M298"/>
    <mergeCell ref="D301:J301"/>
    <mergeCell ref="D302:M302"/>
    <mergeCell ref="D305:J305"/>
    <mergeCell ref="D306:M306"/>
    <mergeCell ref="D310:J310"/>
    <mergeCell ref="D311:J311"/>
    <mergeCell ref="D312:M312"/>
    <mergeCell ref="D315:J315"/>
    <mergeCell ref="D316:M316"/>
    <mergeCell ref="D331:J331"/>
    <mergeCell ref="D332:M332"/>
    <mergeCell ref="D343:J343"/>
    <mergeCell ref="D344:M344"/>
    <mergeCell ref="D348:J348"/>
    <mergeCell ref="D349:M349"/>
    <mergeCell ref="D352:J352"/>
    <mergeCell ref="D353:M353"/>
    <mergeCell ref="D358:J358"/>
    <mergeCell ref="D359:M359"/>
    <mergeCell ref="D362:J362"/>
    <mergeCell ref="D363:M363"/>
    <mergeCell ref="D367:J367"/>
    <mergeCell ref="D368:J368"/>
    <mergeCell ref="D369:M369"/>
    <mergeCell ref="D372:J372"/>
    <mergeCell ref="D373:M373"/>
    <mergeCell ref="D377:J377"/>
    <mergeCell ref="D378:J378"/>
    <mergeCell ref="D379:M379"/>
    <mergeCell ref="D382:J382"/>
    <mergeCell ref="D383:M383"/>
    <mergeCell ref="D386:J386"/>
    <mergeCell ref="D387:M387"/>
    <mergeCell ref="D393:J393"/>
    <mergeCell ref="D394:J394"/>
    <mergeCell ref="D395:M395"/>
    <mergeCell ref="D414:J414"/>
    <mergeCell ref="D415:M415"/>
    <mergeCell ref="D419:J419"/>
    <mergeCell ref="D420:M420"/>
    <mergeCell ref="D423:J423"/>
    <mergeCell ref="D424:M424"/>
    <mergeCell ref="D427:J427"/>
    <mergeCell ref="D428:M428"/>
    <mergeCell ref="D431:J431"/>
    <mergeCell ref="D432:M432"/>
    <mergeCell ref="D435:J435"/>
    <mergeCell ref="D436:M436"/>
    <mergeCell ref="D440:J440"/>
    <mergeCell ref="D441:J441"/>
    <mergeCell ref="D442:M442"/>
    <mergeCell ref="D447:J447"/>
    <mergeCell ref="D448:M448"/>
    <mergeCell ref="D451:J451"/>
    <mergeCell ref="D452:M452"/>
    <mergeCell ref="D455:J455"/>
    <mergeCell ref="D456:M456"/>
    <mergeCell ref="D460:J460"/>
    <mergeCell ref="D461:J461"/>
    <mergeCell ref="D462:M462"/>
    <mergeCell ref="D465:J465"/>
    <mergeCell ref="D466:M466"/>
    <mergeCell ref="D469:J469"/>
    <mergeCell ref="D470:M470"/>
    <mergeCell ref="D473:J473"/>
    <mergeCell ref="D474:M474"/>
    <mergeCell ref="D477:J477"/>
    <mergeCell ref="D478:M478"/>
    <mergeCell ref="D481:J481"/>
    <mergeCell ref="D482:M482"/>
    <mergeCell ref="D486:J486"/>
    <mergeCell ref="D487:J487"/>
    <mergeCell ref="D488:M488"/>
    <mergeCell ref="D492:J492"/>
    <mergeCell ref="D493:J493"/>
    <mergeCell ref="D494:M494"/>
  </mergeCells>
  <pageMargins left="0.620079" right="0.472441" top="0.472441" bottom="0.472441" header="0.0" footer="0.0"/>
  <pageSetup paperSize="9" orientation="landscape"/>
  <rowBreaks count="2" manualBreakCount="2">
    <brk id="0" max="16383" man="1"/>
    <brk id="0" max="16383" man="1"/>
  </rowBreaks>
</worksheet>
</file>